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AC\travail_we_janv2019\"/>
    </mc:Choice>
  </mc:AlternateContent>
  <bookViews>
    <workbookView xWindow="0" yWindow="0" windowWidth="22155" windowHeight="11010" tabRatio="520" activeTab="2"/>
  </bookViews>
  <sheets>
    <sheet name="Accueil" sheetId="62924" r:id="rId1"/>
    <sheet name="Facteurs d'émission" sheetId="62922" r:id="rId2"/>
    <sheet name="Campus site 1" sheetId="62917" r:id="rId3"/>
    <sheet name="Totalisateur" sheetId="62916" r:id="rId4"/>
    <sheet name="Convertisseurs" sheetId="62905" r:id="rId5"/>
  </sheets>
  <externalReferences>
    <externalReference r:id="rId6"/>
    <externalReference r:id="rId7"/>
    <externalReference r:id="rId8"/>
  </externalReferences>
  <definedNames>
    <definedName name="_xlnm._FilterDatabase" localSheetId="1" hidden="1">'Facteurs d''émission'!$B$1:$I$253</definedName>
    <definedName name="Avions">Convertisseurs!#REF!</definedName>
    <definedName name="Biocombustibles">Convertisseurs!#REF!</definedName>
    <definedName name="Carburant">Convertisseurs!#REF!</definedName>
    <definedName name="CFC_hors_kyoto">Convertisseurs!#REF!</definedName>
    <definedName name="chaussée">Convertisseurs!#REF!</definedName>
    <definedName name="Combustibles">Convertisseurs!#REF!</definedName>
    <definedName name="CONSOMMABLES_ET_MATERIAUX">'Campus site 1'!$A$339:$T$470</definedName>
    <definedName name="construction_surface">Convertisseurs!#REF!</definedName>
    <definedName name="Déchets_carton_annuels">#REF!</definedName>
    <definedName name="Déchets_carton_par_jour__kg">#REF!</definedName>
    <definedName name="DECHETS_DIRECTS">'Campus site 1'!$A$612:$T$688</definedName>
    <definedName name="Déchets_journeaux_dans_l_année">#REF!</definedName>
    <definedName name="Déchets_journeaux_par_jour">#REF!</definedName>
    <definedName name="Déchets_papier_du_forum__tonnes">#REF!</definedName>
    <definedName name="Déchets_plastiques_annuels">#REF!</definedName>
    <definedName name="Déchets_plastiques_par_jour__kg">#REF!</definedName>
    <definedName name="Densité_de_l_eau__kg_m3">#REF!</definedName>
    <definedName name="DEPLACEMENT_PERSONNES">'Campus site 1'!$A$207:$S$337</definedName>
    <definedName name="Distance_moyenne_en_TGV_longue_distance__km">#REF!</definedName>
    <definedName name="Eaux_usées_annuelles__m3">#REF!</definedName>
    <definedName name="Effectif_total">#REF!</definedName>
    <definedName name="Electricite_m2">Convertisseurs!#REF!</definedName>
    <definedName name="Electricite_pays">Convertisseurs!#REF!</definedName>
    <definedName name="Electricite_producteur">Convertisseurs!#REF!</definedName>
    <definedName name="Extrapolation_personnes_prenant_le_TGV_régulièrement">#REF!</definedName>
    <definedName name="FRET">'Campus site 1'!$A$102:$W$205</definedName>
    <definedName name="fret_ferroviaire">Convertisseurs!#REF!</definedName>
    <definedName name="fret_fluvial_bassin">Convertisseurs!#REF!</definedName>
    <definedName name="fret_fluvial_bateau">Convertisseurs!#REF!</definedName>
    <definedName name="fret_maritime">Convertisseurs!#REF!</definedName>
    <definedName name="fret_routier">Convertisseurs!#REF!</definedName>
    <definedName name="Halocarbures_Kyoto">Convertisseurs!#REF!</definedName>
    <definedName name="IMMOBILISATIONS">'Campus site 1'!$A$689:$T$784</definedName>
    <definedName name="INIES">Convertisseurs!#REF!</definedName>
    <definedName name="Largeur_feuille__m">#REF!</definedName>
    <definedName name="Longueur_feuille__m">#REF!</definedName>
    <definedName name="matériaux_construction_batiments">Convertisseurs!#REF!</definedName>
    <definedName name="Metaux">Convertisseurs!#REF!</definedName>
    <definedName name="métaux">Convertisseurs!#REF!</definedName>
    <definedName name="Nombre_de_canettes_par_jour">#REF!</definedName>
    <definedName name="Nombre_de_déplacements_par_semaine">#REF!</definedName>
    <definedName name="Nombre_de_feuilles_jetées_dans_l_année">#REF!</definedName>
    <definedName name="Nombre_de_feuilles_jetées_pour_deux_semaines">#REF!</definedName>
    <definedName name="Nombre_de_feuilles_par_ramette">#REF!</definedName>
    <definedName name="Nombre_de_jour_par_semaine_sur_le_campus">#REF!</definedName>
    <definedName name="Nombre_de_ramettes">#REF!</definedName>
    <definedName name="Nombre_de_semaines">#REF!</definedName>
    <definedName name="Nombre_de_semaines_sur_le_campus">#REF!</definedName>
    <definedName name="Nombre_de_trajets_TGV_longue_distance_par_personne">#REF!</definedName>
    <definedName name="Nomrbe_de_répondants">#REF!</definedName>
    <definedName name="Papier">Convertisseurs!#REF!</definedName>
    <definedName name="personnes_train">'[1]Facteurs d''émission'!$A$452:$A$473</definedName>
    <definedName name="plastique">Convertisseurs!#REF!</definedName>
    <definedName name="Plastiques">Convertisseurs!#REF!</definedName>
    <definedName name="Poids_d_une_canette_vide__g">#REF!</definedName>
    <definedName name="Poids_des_feuilles_jetées_dans_l_année__tonnes">#REF!</definedName>
    <definedName name="Poids_feuille_par_surface__g_m²">#REF!</definedName>
    <definedName name="Pourcentage_de_répondants">#REF!</definedName>
    <definedName name="produit_agricole">Convertisseurs!#REF!</definedName>
    <definedName name="produit_chimique">Convertisseurs!#REF!</definedName>
    <definedName name="Produits_agricoles">'[2]Facteurs d''émission'!$A$637:$A$665</definedName>
    <definedName name="Produits_alimentaires">Convertisseurs!#REF!</definedName>
    <definedName name="Produits_chimiques">Convertisseurs!#REF!</definedName>
    <definedName name="Ratio_voitures_diesel">#REF!</definedName>
    <definedName name="Ratio_voitures_essence">#REF!</definedName>
    <definedName name="Répondants_prenant_le_TGV_régulièrement">#REF!</definedName>
    <definedName name="RESTAURANT_UNIVERSITAIRE">'Campus site 1'!$A$472:$T$611</definedName>
    <definedName name="Route">'[3]Facteurs d''émission'!$A$578:$A$601</definedName>
    <definedName name="Routes">Convertisseurs!#REF!</definedName>
    <definedName name="SOURCES_FIXES">'Campus site 1'!$C$8:$T$100</definedName>
    <definedName name="Taux_de_covoiturage">#REF!</definedName>
    <definedName name="Taux_de_remplissage_pour_covoiturage">#REF!</definedName>
    <definedName name="TOTAL">'Campus site 1'!$A$786:$Q$829</definedName>
    <definedName name="Total_déchets_papiers__tonnes">#REF!</definedName>
    <definedName name="Train_personnes">Convertisseurs!#REF!</definedName>
    <definedName name="Vapeur">Convertisseurs!#REF!</definedName>
    <definedName name="Verres">Convertisseurs!#REF!</definedName>
    <definedName name="_xlnm.Print_Area" localSheetId="2">'Campus site 1'!$B$2:$AG$829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9" i="62917" l="1"/>
  <c r="N640" i="62917"/>
  <c r="K640" i="62917"/>
  <c r="I640" i="62917"/>
  <c r="E640" i="62917"/>
  <c r="G640" i="62917" s="1"/>
  <c r="G624" i="62917" l="1"/>
  <c r="G625" i="62917"/>
  <c r="G626" i="62917"/>
  <c r="G627" i="62917"/>
  <c r="G628" i="62917"/>
  <c r="G629" i="62917"/>
  <c r="G630" i="62917"/>
  <c r="G623" i="62917"/>
  <c r="G622" i="62917"/>
  <c r="F513" i="62917"/>
  <c r="F512" i="62917"/>
  <c r="E512" i="62917"/>
  <c r="G24" i="62917"/>
  <c r="G20" i="62917"/>
  <c r="G21" i="62917"/>
  <c r="G22" i="62917"/>
  <c r="G23" i="62917"/>
  <c r="G19" i="62917"/>
  <c r="G18" i="62917"/>
  <c r="C29" i="62916" l="1"/>
  <c r="C28" i="62916"/>
  <c r="C27" i="62916"/>
  <c r="C26" i="62916"/>
  <c r="C25" i="62916"/>
  <c r="C24" i="62916"/>
  <c r="C15" i="62916"/>
  <c r="C14" i="62916"/>
  <c r="C13" i="62916"/>
  <c r="C12" i="62916"/>
  <c r="E107" i="62922" l="1"/>
  <c r="E106" i="62922"/>
  <c r="E105" i="62922"/>
  <c r="E104" i="62922"/>
  <c r="E103" i="62922"/>
  <c r="L412" i="62917" l="1"/>
  <c r="L413" i="62917"/>
  <c r="L414" i="62917"/>
  <c r="L415" i="62917"/>
  <c r="L416" i="62917"/>
  <c r="L417" i="62917"/>
  <c r="L418" i="62917"/>
  <c r="L419" i="62917"/>
  <c r="L411" i="62917"/>
  <c r="L375" i="62917"/>
  <c r="L348" i="62917"/>
  <c r="L349" i="62917"/>
  <c r="L350" i="62917"/>
  <c r="L351" i="62917"/>
  <c r="L352" i="62917"/>
  <c r="L353" i="62917"/>
  <c r="L354" i="62917"/>
  <c r="L355" i="62917"/>
  <c r="L356" i="62917"/>
  <c r="L357" i="62917"/>
  <c r="D381" i="62917"/>
  <c r="I375" i="62917"/>
  <c r="E375" i="62917"/>
  <c r="G375" i="62917" s="1"/>
  <c r="D369" i="62917"/>
  <c r="D358" i="62917"/>
  <c r="E285" i="62917"/>
  <c r="D285" i="62917"/>
  <c r="E272" i="62917"/>
  <c r="F272" i="62917"/>
  <c r="D272" i="62917"/>
  <c r="D222" i="62917"/>
  <c r="D145" i="62917"/>
  <c r="D51" i="62917"/>
  <c r="D25" i="62917"/>
  <c r="D710" i="62917"/>
  <c r="D631" i="62917"/>
  <c r="K375" i="62917" l="1"/>
  <c r="E650" i="62917"/>
  <c r="O650" i="62917" l="1"/>
  <c r="K650" i="62917"/>
  <c r="F650" i="62917"/>
  <c r="C38" i="62916" s="1"/>
  <c r="M650" i="62917"/>
  <c r="N650" i="62917" s="1"/>
  <c r="I650" i="62917"/>
  <c r="J650" i="62917" s="1"/>
  <c r="P650" i="62917" l="1"/>
  <c r="I720" i="62917" l="1"/>
  <c r="L720" i="62917"/>
  <c r="I721" i="62917"/>
  <c r="L721" i="62917"/>
  <c r="I722" i="62917"/>
  <c r="L722" i="62917"/>
  <c r="I723" i="62917"/>
  <c r="L723" i="62917"/>
  <c r="I724" i="62917"/>
  <c r="L724" i="62917"/>
  <c r="I725" i="62917"/>
  <c r="L725" i="62917"/>
  <c r="I726" i="62917"/>
  <c r="L726" i="62917"/>
  <c r="E720" i="62917"/>
  <c r="G720" i="62917" s="1"/>
  <c r="N720" i="62917" s="1"/>
  <c r="E721" i="62917"/>
  <c r="G721" i="62917"/>
  <c r="N721" i="62917" s="1"/>
  <c r="E722" i="62917"/>
  <c r="G722" i="62917" s="1"/>
  <c r="N722" i="62917" s="1"/>
  <c r="E723" i="62917"/>
  <c r="G723" i="62917"/>
  <c r="N723" i="62917" s="1"/>
  <c r="E724" i="62917"/>
  <c r="G724" i="62917" s="1"/>
  <c r="N724" i="62917" s="1"/>
  <c r="E725" i="62917"/>
  <c r="G725" i="62917"/>
  <c r="N725" i="62917" s="1"/>
  <c r="E726" i="62917"/>
  <c r="G726" i="62917" s="1"/>
  <c r="N726" i="62917" s="1"/>
  <c r="E703" i="62917"/>
  <c r="G703" i="62917" s="1"/>
  <c r="I703" i="62917"/>
  <c r="L703" i="62917"/>
  <c r="E704" i="62917"/>
  <c r="G704" i="62917" s="1"/>
  <c r="I704" i="62917"/>
  <c r="L704" i="62917"/>
  <c r="E705" i="62917"/>
  <c r="G705" i="62917" s="1"/>
  <c r="I705" i="62917"/>
  <c r="L705" i="62917"/>
  <c r="E706" i="62917"/>
  <c r="G706" i="62917"/>
  <c r="I706" i="62917"/>
  <c r="L706" i="62917"/>
  <c r="E707" i="62917"/>
  <c r="G707" i="62917" s="1"/>
  <c r="I707" i="62917"/>
  <c r="L707" i="62917"/>
  <c r="E708" i="62917"/>
  <c r="G708" i="62917"/>
  <c r="I708" i="62917"/>
  <c r="L708" i="62917"/>
  <c r="E709" i="62917"/>
  <c r="G709" i="62917" s="1"/>
  <c r="I709" i="62917"/>
  <c r="L709" i="62917"/>
  <c r="I734" i="62917"/>
  <c r="I735" i="62917"/>
  <c r="I736" i="62917"/>
  <c r="I737" i="62917"/>
  <c r="I738" i="62917"/>
  <c r="I739" i="62917"/>
  <c r="I733" i="62917"/>
  <c r="E734" i="62917"/>
  <c r="G734" i="62917" s="1"/>
  <c r="N734" i="62917" s="1"/>
  <c r="E735" i="62917"/>
  <c r="G735" i="62917"/>
  <c r="N735" i="62917" s="1"/>
  <c r="E736" i="62917"/>
  <c r="G736" i="62917" s="1"/>
  <c r="K736" i="62917" s="1"/>
  <c r="E737" i="62917"/>
  <c r="G737" i="62917"/>
  <c r="N737" i="62917" s="1"/>
  <c r="E738" i="62917"/>
  <c r="G738" i="62917" s="1"/>
  <c r="N738" i="62917" s="1"/>
  <c r="E739" i="62917"/>
  <c r="G739" i="62917"/>
  <c r="N739" i="62917" s="1"/>
  <c r="E733" i="62917"/>
  <c r="E624" i="62917"/>
  <c r="I624" i="62917"/>
  <c r="L624" i="62917"/>
  <c r="E625" i="62917"/>
  <c r="I625" i="62917"/>
  <c r="L625" i="62917"/>
  <c r="E626" i="62917"/>
  <c r="I626" i="62917"/>
  <c r="L626" i="62917"/>
  <c r="E627" i="62917"/>
  <c r="I627" i="62917"/>
  <c r="L627" i="62917"/>
  <c r="E628" i="62917"/>
  <c r="I628" i="62917"/>
  <c r="L628" i="62917"/>
  <c r="E629" i="62917"/>
  <c r="I629" i="62917"/>
  <c r="L629" i="62917"/>
  <c r="E630" i="62917"/>
  <c r="I630" i="62917"/>
  <c r="L630" i="62917"/>
  <c r="H560" i="62917"/>
  <c r="E560" i="62917"/>
  <c r="M560" i="62917" s="1"/>
  <c r="H559" i="62917"/>
  <c r="E559" i="62917"/>
  <c r="M559" i="62917" s="1"/>
  <c r="H558" i="62917"/>
  <c r="E558" i="62917"/>
  <c r="M558" i="62917" s="1"/>
  <c r="H557" i="62917"/>
  <c r="E557" i="62917"/>
  <c r="M557" i="62917" s="1"/>
  <c r="H556" i="62917"/>
  <c r="E556" i="62917"/>
  <c r="M556" i="62917" s="1"/>
  <c r="H555" i="62917"/>
  <c r="E555" i="62917"/>
  <c r="M555" i="62917" s="1"/>
  <c r="H554" i="62917"/>
  <c r="E554" i="62917"/>
  <c r="M554" i="62917" s="1"/>
  <c r="H553" i="62917"/>
  <c r="E553" i="62917"/>
  <c r="M553" i="62917" s="1"/>
  <c r="H552" i="62917"/>
  <c r="E552" i="62917"/>
  <c r="M552" i="62917" s="1"/>
  <c r="E534" i="62917"/>
  <c r="F534" i="62917" s="1"/>
  <c r="H534" i="62917"/>
  <c r="K534" i="62917"/>
  <c r="E535" i="62917"/>
  <c r="F535" i="62917" s="1"/>
  <c r="H535" i="62917"/>
  <c r="K535" i="62917"/>
  <c r="E536" i="62917"/>
  <c r="F536" i="62917" s="1"/>
  <c r="H536" i="62917"/>
  <c r="K536" i="62917"/>
  <c r="E537" i="62917"/>
  <c r="F537" i="62917" s="1"/>
  <c r="H537" i="62917"/>
  <c r="K537" i="62917"/>
  <c r="E538" i="62917"/>
  <c r="F538" i="62917" s="1"/>
  <c r="H538" i="62917"/>
  <c r="K538" i="62917"/>
  <c r="E539" i="62917"/>
  <c r="F539" i="62917" s="1"/>
  <c r="H539" i="62917"/>
  <c r="K539" i="62917"/>
  <c r="E540" i="62917"/>
  <c r="F540" i="62917" s="1"/>
  <c r="H540" i="62917"/>
  <c r="K540" i="62917"/>
  <c r="E541" i="62917"/>
  <c r="F541" i="62917" s="1"/>
  <c r="H541" i="62917"/>
  <c r="K541" i="62917"/>
  <c r="E542" i="62917"/>
  <c r="F542" i="62917" s="1"/>
  <c r="H542" i="62917"/>
  <c r="K542" i="62917"/>
  <c r="E543" i="62917"/>
  <c r="F543" i="62917" s="1"/>
  <c r="H543" i="62917"/>
  <c r="K543" i="62917"/>
  <c r="E544" i="62917"/>
  <c r="F544" i="62917" s="1"/>
  <c r="H544" i="62917"/>
  <c r="K544" i="62917"/>
  <c r="E545" i="62917"/>
  <c r="F545" i="62917" s="1"/>
  <c r="H545" i="62917"/>
  <c r="K545" i="62917"/>
  <c r="H512" i="62917"/>
  <c r="K512" i="62917"/>
  <c r="E513" i="62917"/>
  <c r="H513" i="62917"/>
  <c r="K513" i="62917"/>
  <c r="E514" i="62917"/>
  <c r="F514" i="62917" s="1"/>
  <c r="H514" i="62917"/>
  <c r="K514" i="62917"/>
  <c r="E515" i="62917"/>
  <c r="F515" i="62917" s="1"/>
  <c r="H515" i="62917"/>
  <c r="K515" i="62917"/>
  <c r="E516" i="62917"/>
  <c r="F516" i="62917" s="1"/>
  <c r="H516" i="62917"/>
  <c r="K516" i="62917"/>
  <c r="E517" i="62917"/>
  <c r="F517" i="62917" s="1"/>
  <c r="H517" i="62917"/>
  <c r="K517" i="62917"/>
  <c r="E518" i="62917"/>
  <c r="F518" i="62917" s="1"/>
  <c r="M518" i="62917" s="1"/>
  <c r="H518" i="62917"/>
  <c r="K518" i="62917"/>
  <c r="E519" i="62917"/>
  <c r="F519" i="62917" s="1"/>
  <c r="H519" i="62917"/>
  <c r="K519" i="62917"/>
  <c r="E520" i="62917"/>
  <c r="F520" i="62917" s="1"/>
  <c r="H520" i="62917"/>
  <c r="K520" i="62917"/>
  <c r="E521" i="62917"/>
  <c r="F521" i="62917" s="1"/>
  <c r="H521" i="62917"/>
  <c r="K521" i="62917"/>
  <c r="E522" i="62917"/>
  <c r="F522" i="62917" s="1"/>
  <c r="H522" i="62917"/>
  <c r="K522" i="62917"/>
  <c r="E511" i="62917"/>
  <c r="F511" i="62917" s="1"/>
  <c r="H511" i="62917"/>
  <c r="K511" i="62917"/>
  <c r="E523" i="62917"/>
  <c r="F523" i="62917" s="1"/>
  <c r="H523" i="62917"/>
  <c r="K523" i="62917"/>
  <c r="E524" i="62917"/>
  <c r="F524" i="62917" s="1"/>
  <c r="H524" i="62917"/>
  <c r="K524" i="62917"/>
  <c r="E525" i="62917"/>
  <c r="F525" i="62917" s="1"/>
  <c r="H525" i="62917"/>
  <c r="K525" i="62917"/>
  <c r="E526" i="62917"/>
  <c r="F526" i="62917" s="1"/>
  <c r="H526" i="62917"/>
  <c r="K526" i="62917"/>
  <c r="E485" i="62917"/>
  <c r="F485" i="62917" s="1"/>
  <c r="H485" i="62917"/>
  <c r="K485" i="62917"/>
  <c r="E486" i="62917"/>
  <c r="F486" i="62917" s="1"/>
  <c r="H486" i="62917"/>
  <c r="K486" i="62917"/>
  <c r="E487" i="62917"/>
  <c r="F487" i="62917" s="1"/>
  <c r="H487" i="62917"/>
  <c r="K487" i="62917"/>
  <c r="E488" i="62917"/>
  <c r="F488" i="62917" s="1"/>
  <c r="H488" i="62917"/>
  <c r="K488" i="62917"/>
  <c r="E489" i="62917"/>
  <c r="F489" i="62917" s="1"/>
  <c r="H489" i="62917"/>
  <c r="K489" i="62917"/>
  <c r="E490" i="62917"/>
  <c r="F490" i="62917" s="1"/>
  <c r="H490" i="62917"/>
  <c r="K490" i="62917"/>
  <c r="E491" i="62917"/>
  <c r="F491" i="62917" s="1"/>
  <c r="H491" i="62917"/>
  <c r="K491" i="62917"/>
  <c r="I412" i="62917"/>
  <c r="I413" i="62917"/>
  <c r="I414" i="62917"/>
  <c r="I415" i="62917"/>
  <c r="I416" i="62917"/>
  <c r="I417" i="62917"/>
  <c r="I418" i="62917"/>
  <c r="I419" i="62917"/>
  <c r="I411" i="62917"/>
  <c r="D420" i="62917"/>
  <c r="E412" i="62917"/>
  <c r="N412" i="62917" s="1"/>
  <c r="E413" i="62917"/>
  <c r="N413" i="62917" s="1"/>
  <c r="E414" i="62917"/>
  <c r="N414" i="62917" s="1"/>
  <c r="E415" i="62917"/>
  <c r="G415" i="62917" s="1"/>
  <c r="E416" i="62917"/>
  <c r="N416" i="62917" s="1"/>
  <c r="E417" i="62917"/>
  <c r="N417" i="62917" s="1"/>
  <c r="E418" i="62917"/>
  <c r="G418" i="62917" s="1"/>
  <c r="E419" i="62917"/>
  <c r="G419" i="62917" s="1"/>
  <c r="E411" i="62917"/>
  <c r="N411" i="62917" s="1"/>
  <c r="E401" i="62917"/>
  <c r="G401" i="62917" s="1"/>
  <c r="I401" i="62917"/>
  <c r="L401" i="62917"/>
  <c r="E402" i="62917"/>
  <c r="G402" i="62917" s="1"/>
  <c r="I402" i="62917"/>
  <c r="L402" i="62917"/>
  <c r="E403" i="62917"/>
  <c r="G403" i="62917" s="1"/>
  <c r="I403" i="62917"/>
  <c r="L403" i="62917"/>
  <c r="I132" i="62917"/>
  <c r="I133" i="62917"/>
  <c r="I388" i="62917"/>
  <c r="L388" i="62917"/>
  <c r="E389" i="62917"/>
  <c r="G389" i="62917" s="1"/>
  <c r="I389" i="62917"/>
  <c r="L389" i="62917"/>
  <c r="E390" i="62917"/>
  <c r="G390" i="62917" s="1"/>
  <c r="I390" i="62917"/>
  <c r="L390" i="62917"/>
  <c r="E377" i="62917"/>
  <c r="G377" i="62917" s="1"/>
  <c r="I377" i="62917"/>
  <c r="L377" i="62917"/>
  <c r="E378" i="62917"/>
  <c r="G378" i="62917" s="1"/>
  <c r="I378" i="62917"/>
  <c r="L378" i="62917"/>
  <c r="E379" i="62917"/>
  <c r="G379" i="62917" s="1"/>
  <c r="I379" i="62917"/>
  <c r="L379" i="62917"/>
  <c r="I364" i="62917"/>
  <c r="L364" i="62917"/>
  <c r="I365" i="62917"/>
  <c r="L365" i="62917"/>
  <c r="I366" i="62917"/>
  <c r="L366" i="62917"/>
  <c r="I367" i="62917"/>
  <c r="L367" i="62917"/>
  <c r="E364" i="62917"/>
  <c r="G364" i="62917" s="1"/>
  <c r="E365" i="62917"/>
  <c r="G365" i="62917" s="1"/>
  <c r="N365" i="62917" s="1"/>
  <c r="E366" i="62917"/>
  <c r="G366" i="62917" s="1"/>
  <c r="N366" i="62917" s="1"/>
  <c r="E367" i="62917"/>
  <c r="G367" i="62917" s="1"/>
  <c r="N367" i="62917" s="1"/>
  <c r="E354" i="62917"/>
  <c r="G354" i="62917" s="1"/>
  <c r="I354" i="62917"/>
  <c r="E355" i="62917"/>
  <c r="G355" i="62917" s="1"/>
  <c r="I355" i="62917"/>
  <c r="E356" i="62917"/>
  <c r="G356" i="62917" s="1"/>
  <c r="N356" i="62917" s="1"/>
  <c r="I356" i="62917"/>
  <c r="N280" i="62917"/>
  <c r="T280" i="62917"/>
  <c r="N281" i="62917"/>
  <c r="T281" i="62917"/>
  <c r="N282" i="62917"/>
  <c r="T282" i="62917"/>
  <c r="N283" i="62917"/>
  <c r="T283" i="62917"/>
  <c r="N284" i="62917"/>
  <c r="T284" i="62917"/>
  <c r="F280" i="62917"/>
  <c r="I280" i="62917" s="1"/>
  <c r="F281" i="62917"/>
  <c r="I281" i="62917" s="1"/>
  <c r="W281" i="62917" s="1"/>
  <c r="F282" i="62917"/>
  <c r="I282" i="62917" s="1"/>
  <c r="F283" i="62917"/>
  <c r="I283" i="62917" s="1"/>
  <c r="F284" i="62917"/>
  <c r="I284" i="62917" s="1"/>
  <c r="W284" i="62917" s="1"/>
  <c r="N268" i="62917"/>
  <c r="T268" i="62917"/>
  <c r="N269" i="62917"/>
  <c r="T269" i="62917"/>
  <c r="N270" i="62917"/>
  <c r="T270" i="62917"/>
  <c r="G268" i="62917"/>
  <c r="I268" i="62917" s="1"/>
  <c r="G269" i="62917"/>
  <c r="I269" i="62917" s="1"/>
  <c r="G270" i="62917"/>
  <c r="I270" i="62917" s="1"/>
  <c r="G271" i="62917"/>
  <c r="N248" i="62917"/>
  <c r="N249" i="62917"/>
  <c r="G247" i="62917"/>
  <c r="G248" i="62917"/>
  <c r="I248" i="62917" s="1"/>
  <c r="G249" i="62917"/>
  <c r="I249" i="62917" s="1"/>
  <c r="G250" i="62917"/>
  <c r="N230" i="62917"/>
  <c r="N231" i="62917"/>
  <c r="N232" i="62917"/>
  <c r="N233" i="62917"/>
  <c r="N234" i="62917"/>
  <c r="N235" i="62917"/>
  <c r="N236" i="62917"/>
  <c r="N237" i="62917"/>
  <c r="N238" i="62917"/>
  <c r="E239" i="62917"/>
  <c r="F239" i="62917"/>
  <c r="D239" i="62917"/>
  <c r="G232" i="62917"/>
  <c r="I232" i="62917" s="1"/>
  <c r="G233" i="62917"/>
  <c r="I233" i="62917" s="1"/>
  <c r="G234" i="62917"/>
  <c r="I234" i="62917" s="1"/>
  <c r="G235" i="62917"/>
  <c r="I235" i="62917" s="1"/>
  <c r="G236" i="62917"/>
  <c r="I236" i="62917" s="1"/>
  <c r="G237" i="62917"/>
  <c r="I237" i="62917" s="1"/>
  <c r="G238" i="62917"/>
  <c r="I22" i="62917"/>
  <c r="I23" i="62917"/>
  <c r="I24" i="62917"/>
  <c r="I21" i="62917"/>
  <c r="E22" i="62917"/>
  <c r="E23" i="62917"/>
  <c r="E24" i="62917"/>
  <c r="E21" i="62917"/>
  <c r="N21" i="62917" s="1"/>
  <c r="I34" i="62917"/>
  <c r="I35" i="62917"/>
  <c r="I36" i="62917"/>
  <c r="D37" i="62917"/>
  <c r="E34" i="62917"/>
  <c r="G34" i="62917" s="1"/>
  <c r="N34" i="62917" s="1"/>
  <c r="E35" i="62917"/>
  <c r="G35" i="62917" s="1"/>
  <c r="E36" i="62917"/>
  <c r="G36" i="62917" s="1"/>
  <c r="I46" i="62917"/>
  <c r="I47" i="62917"/>
  <c r="I48" i="62917"/>
  <c r="I49" i="62917"/>
  <c r="I50" i="62917"/>
  <c r="E48" i="62917"/>
  <c r="G48" i="62917" s="1"/>
  <c r="N48" i="62917" s="1"/>
  <c r="E49" i="62917"/>
  <c r="G49" i="62917" s="1"/>
  <c r="N49" i="62917" s="1"/>
  <c r="E50" i="62917"/>
  <c r="G50" i="62917" s="1"/>
  <c r="N50" i="62917" s="1"/>
  <c r="I153" i="62917"/>
  <c r="I154" i="62917"/>
  <c r="I155" i="62917"/>
  <c r="I156" i="62917"/>
  <c r="I119" i="62917"/>
  <c r="I120" i="62917"/>
  <c r="I121" i="62917"/>
  <c r="D122" i="62917"/>
  <c r="E119" i="62917"/>
  <c r="G119" i="62917" s="1"/>
  <c r="E120" i="62917"/>
  <c r="G120" i="62917" s="1"/>
  <c r="N120" i="62917" s="1"/>
  <c r="E121" i="62917"/>
  <c r="G121" i="62917" s="1"/>
  <c r="N121" i="62917" s="1"/>
  <c r="D157" i="62917"/>
  <c r="E153" i="62917"/>
  <c r="G153" i="62917" s="1"/>
  <c r="N153" i="62917" s="1"/>
  <c r="E154" i="62917"/>
  <c r="G154" i="62917" s="1"/>
  <c r="K154" i="62917" s="1"/>
  <c r="E155" i="62917"/>
  <c r="G155" i="62917" s="1"/>
  <c r="N155" i="62917" s="1"/>
  <c r="E156" i="62917"/>
  <c r="G156" i="62917" s="1"/>
  <c r="N156" i="62917" s="1"/>
  <c r="D134" i="62917"/>
  <c r="I142" i="62917"/>
  <c r="I143" i="62917"/>
  <c r="I144" i="62917"/>
  <c r="E143" i="62917"/>
  <c r="G143" i="62917" s="1"/>
  <c r="N143" i="62917" s="1"/>
  <c r="E144" i="62917"/>
  <c r="G144" i="62917" s="1"/>
  <c r="N144" i="62917" s="1"/>
  <c r="E142" i="62917"/>
  <c r="G142" i="62917" s="1"/>
  <c r="N142" i="62917" s="1"/>
  <c r="E132" i="62917"/>
  <c r="G132" i="62917" s="1"/>
  <c r="N132" i="62917" s="1"/>
  <c r="E133" i="62917"/>
  <c r="G133" i="62917" s="1"/>
  <c r="N133" i="62917" s="1"/>
  <c r="I131" i="62917"/>
  <c r="E131" i="62917"/>
  <c r="G131" i="62917" s="1"/>
  <c r="N131" i="62917" s="1"/>
  <c r="E222" i="62917"/>
  <c r="F222" i="62917"/>
  <c r="K724" i="62917" l="1"/>
  <c r="K706" i="62917"/>
  <c r="K708" i="62917"/>
  <c r="N706" i="62917"/>
  <c r="K735" i="62917"/>
  <c r="K725" i="62917"/>
  <c r="K721" i="62917"/>
  <c r="K726" i="62917"/>
  <c r="K722" i="62917"/>
  <c r="K723" i="62917"/>
  <c r="K720" i="62917"/>
  <c r="K704" i="62917"/>
  <c r="N704" i="62917"/>
  <c r="K737" i="62917"/>
  <c r="N709" i="62917"/>
  <c r="K709" i="62917"/>
  <c r="N707" i="62917"/>
  <c r="K707" i="62917"/>
  <c r="N705" i="62917"/>
  <c r="K705" i="62917"/>
  <c r="N703" i="62917"/>
  <c r="K703" i="62917"/>
  <c r="N708" i="62917"/>
  <c r="K739" i="62917"/>
  <c r="K738" i="62917"/>
  <c r="K734" i="62917"/>
  <c r="N736" i="62917"/>
  <c r="K629" i="62917"/>
  <c r="K627" i="62917"/>
  <c r="N627" i="62917"/>
  <c r="K625" i="62917"/>
  <c r="N628" i="62917"/>
  <c r="K628" i="62917"/>
  <c r="N630" i="62917"/>
  <c r="K630" i="62917"/>
  <c r="N626" i="62917"/>
  <c r="K626" i="62917"/>
  <c r="N624" i="62917"/>
  <c r="K624" i="62917"/>
  <c r="N629" i="62917"/>
  <c r="N625" i="62917"/>
  <c r="J513" i="62917"/>
  <c r="K553" i="62917"/>
  <c r="K555" i="62917"/>
  <c r="K557" i="62917"/>
  <c r="K559" i="62917"/>
  <c r="F553" i="62917"/>
  <c r="J553" i="62917" s="1"/>
  <c r="F555" i="62917"/>
  <c r="J555" i="62917" s="1"/>
  <c r="F557" i="62917"/>
  <c r="J557" i="62917" s="1"/>
  <c r="F559" i="62917"/>
  <c r="J559" i="62917" s="1"/>
  <c r="K558" i="62917"/>
  <c r="K560" i="62917"/>
  <c r="K552" i="62917"/>
  <c r="K554" i="62917"/>
  <c r="K556" i="62917"/>
  <c r="F552" i="62917"/>
  <c r="J552" i="62917" s="1"/>
  <c r="F554" i="62917"/>
  <c r="J554" i="62917" s="1"/>
  <c r="F556" i="62917"/>
  <c r="J556" i="62917" s="1"/>
  <c r="F558" i="62917"/>
  <c r="J558" i="62917" s="1"/>
  <c r="F560" i="62917"/>
  <c r="J560" i="62917" s="1"/>
  <c r="J541" i="62917"/>
  <c r="J539" i="62917"/>
  <c r="J537" i="62917"/>
  <c r="J535" i="62917"/>
  <c r="J545" i="62917"/>
  <c r="J543" i="62917"/>
  <c r="M539" i="62917"/>
  <c r="M537" i="62917"/>
  <c r="M535" i="62917"/>
  <c r="M543" i="62917"/>
  <c r="M544" i="62917"/>
  <c r="J544" i="62917"/>
  <c r="M542" i="62917"/>
  <c r="J542" i="62917"/>
  <c r="M540" i="62917"/>
  <c r="J540" i="62917"/>
  <c r="M538" i="62917"/>
  <c r="J538" i="62917"/>
  <c r="M536" i="62917"/>
  <c r="J536" i="62917"/>
  <c r="M534" i="62917"/>
  <c r="J534" i="62917"/>
  <c r="M545" i="62917"/>
  <c r="M541" i="62917"/>
  <c r="J516" i="62917"/>
  <c r="J521" i="62917"/>
  <c r="M516" i="62917"/>
  <c r="J518" i="62917"/>
  <c r="M520" i="62917"/>
  <c r="J520" i="62917"/>
  <c r="J519" i="62917"/>
  <c r="M519" i="62917"/>
  <c r="J517" i="62917"/>
  <c r="M517" i="62917"/>
  <c r="M514" i="62917"/>
  <c r="J514" i="62917"/>
  <c r="M522" i="62917"/>
  <c r="J522" i="62917"/>
  <c r="M512" i="62917"/>
  <c r="J512" i="62917"/>
  <c r="M521" i="62917"/>
  <c r="J515" i="62917"/>
  <c r="M513" i="62917"/>
  <c r="M515" i="62917"/>
  <c r="J525" i="62917"/>
  <c r="M525" i="62917"/>
  <c r="J523" i="62917"/>
  <c r="M523" i="62917"/>
  <c r="M526" i="62917"/>
  <c r="J526" i="62917"/>
  <c r="M524" i="62917"/>
  <c r="J524" i="62917"/>
  <c r="M511" i="62917"/>
  <c r="J511" i="62917"/>
  <c r="J490" i="62917"/>
  <c r="M490" i="62917"/>
  <c r="J488" i="62917"/>
  <c r="M488" i="62917"/>
  <c r="J486" i="62917"/>
  <c r="M486" i="62917"/>
  <c r="M491" i="62917"/>
  <c r="J491" i="62917"/>
  <c r="M489" i="62917"/>
  <c r="J489" i="62917"/>
  <c r="M487" i="62917"/>
  <c r="J487" i="62917"/>
  <c r="M485" i="62917"/>
  <c r="J485" i="62917"/>
  <c r="K418" i="62917"/>
  <c r="N419" i="62917"/>
  <c r="G414" i="62917"/>
  <c r="K414" i="62917" s="1"/>
  <c r="N418" i="62917"/>
  <c r="G417" i="62917"/>
  <c r="K417" i="62917" s="1"/>
  <c r="K419" i="62917"/>
  <c r="K415" i="62917"/>
  <c r="G413" i="62917"/>
  <c r="K413" i="62917" s="1"/>
  <c r="N415" i="62917"/>
  <c r="G411" i="62917"/>
  <c r="G416" i="62917"/>
  <c r="K416" i="62917" s="1"/>
  <c r="G412" i="62917"/>
  <c r="K412" i="62917" s="1"/>
  <c r="K402" i="62917"/>
  <c r="K403" i="62917"/>
  <c r="N402" i="62917"/>
  <c r="K401" i="62917"/>
  <c r="N403" i="62917"/>
  <c r="N401" i="62917"/>
  <c r="K133" i="62917"/>
  <c r="K132" i="62917"/>
  <c r="K389" i="62917"/>
  <c r="N389" i="62917"/>
  <c r="N390" i="62917"/>
  <c r="K390" i="62917"/>
  <c r="K378" i="62917"/>
  <c r="N378" i="62917"/>
  <c r="N379" i="62917"/>
  <c r="K379" i="62917"/>
  <c r="N377" i="62917"/>
  <c r="K377" i="62917"/>
  <c r="N364" i="62917"/>
  <c r="K355" i="62917"/>
  <c r="K365" i="62917"/>
  <c r="K364" i="62917"/>
  <c r="K366" i="62917"/>
  <c r="K367" i="62917"/>
  <c r="K270" i="62917"/>
  <c r="X270" i="62917" s="1"/>
  <c r="N354" i="62917"/>
  <c r="K354" i="62917"/>
  <c r="K356" i="62917"/>
  <c r="N355" i="62917"/>
  <c r="W280" i="62917"/>
  <c r="J284" i="62917"/>
  <c r="X284" i="62917" s="1"/>
  <c r="Y284" i="62917" s="1"/>
  <c r="J280" i="62917"/>
  <c r="X280" i="62917" s="1"/>
  <c r="J282" i="62917"/>
  <c r="X282" i="62917" s="1"/>
  <c r="Q283" i="62917"/>
  <c r="W283" i="62917"/>
  <c r="Q282" i="62917"/>
  <c r="W282" i="62917"/>
  <c r="P270" i="62917"/>
  <c r="Q284" i="62917"/>
  <c r="J281" i="62917"/>
  <c r="X281" i="62917" s="1"/>
  <c r="Y281" i="62917" s="1"/>
  <c r="K269" i="62917"/>
  <c r="R269" i="62917" s="1"/>
  <c r="J283" i="62917"/>
  <c r="K283" i="62917" s="1"/>
  <c r="Q280" i="62917"/>
  <c r="Q281" i="62917"/>
  <c r="V269" i="62917"/>
  <c r="P269" i="62917"/>
  <c r="V268" i="62917"/>
  <c r="J270" i="62917"/>
  <c r="W270" i="62917" s="1"/>
  <c r="J269" i="62917"/>
  <c r="K268" i="62917"/>
  <c r="X268" i="62917" s="1"/>
  <c r="J268" i="62917"/>
  <c r="W268" i="62917" s="1"/>
  <c r="P268" i="62917"/>
  <c r="V270" i="62917"/>
  <c r="V237" i="62917"/>
  <c r="V233" i="62917"/>
  <c r="V236" i="62917"/>
  <c r="V232" i="62917"/>
  <c r="V235" i="62917"/>
  <c r="V234" i="62917"/>
  <c r="P232" i="62917"/>
  <c r="P235" i="62917"/>
  <c r="K248" i="62917"/>
  <c r="X248" i="62917" s="1"/>
  <c r="K237" i="62917"/>
  <c r="X237" i="62917" s="1"/>
  <c r="K236" i="62917"/>
  <c r="X236" i="62917" s="1"/>
  <c r="K235" i="62917"/>
  <c r="X235" i="62917" s="1"/>
  <c r="K234" i="62917"/>
  <c r="X234" i="62917" s="1"/>
  <c r="K233" i="62917"/>
  <c r="X233" i="62917" s="1"/>
  <c r="K232" i="62917"/>
  <c r="X232" i="62917" s="1"/>
  <c r="P236" i="62917"/>
  <c r="P234" i="62917"/>
  <c r="J237" i="62917"/>
  <c r="W237" i="62917" s="1"/>
  <c r="J236" i="62917"/>
  <c r="W236" i="62917" s="1"/>
  <c r="J235" i="62917"/>
  <c r="W235" i="62917" s="1"/>
  <c r="J234" i="62917"/>
  <c r="W234" i="62917" s="1"/>
  <c r="J233" i="62917"/>
  <c r="W233" i="62917" s="1"/>
  <c r="J232" i="62917"/>
  <c r="W232" i="62917" s="1"/>
  <c r="P237" i="62917"/>
  <c r="P233" i="62917"/>
  <c r="V248" i="62917"/>
  <c r="V249" i="62917"/>
  <c r="K249" i="62917"/>
  <c r="X249" i="62917" s="1"/>
  <c r="J249" i="62917"/>
  <c r="W249" i="62917" s="1"/>
  <c r="J248" i="62917"/>
  <c r="W248" i="62917" s="1"/>
  <c r="P249" i="62917"/>
  <c r="P248" i="62917"/>
  <c r="K23" i="62917"/>
  <c r="N23" i="62917"/>
  <c r="N22" i="62917"/>
  <c r="K22" i="62917"/>
  <c r="N24" i="62917"/>
  <c r="K24" i="62917"/>
  <c r="K21" i="62917"/>
  <c r="K36" i="62917"/>
  <c r="K35" i="62917"/>
  <c r="N35" i="62917"/>
  <c r="N36" i="62917"/>
  <c r="K34" i="62917"/>
  <c r="K49" i="62917"/>
  <c r="K156" i="62917"/>
  <c r="K48" i="62917"/>
  <c r="K50" i="62917"/>
  <c r="K119" i="62917"/>
  <c r="N119" i="62917"/>
  <c r="K120" i="62917"/>
  <c r="K153" i="62917"/>
  <c r="N154" i="62917"/>
  <c r="K155" i="62917"/>
  <c r="K121" i="62917"/>
  <c r="K142" i="62917"/>
  <c r="K144" i="62917"/>
  <c r="K143" i="62917"/>
  <c r="K131" i="62917"/>
  <c r="E152" i="62917"/>
  <c r="E151" i="62917"/>
  <c r="G151" i="62917" s="1"/>
  <c r="I151" i="62917"/>
  <c r="I140" i="62917"/>
  <c r="I141" i="62917"/>
  <c r="Y282" i="62917" l="1"/>
  <c r="Q270" i="62917"/>
  <c r="R284" i="62917"/>
  <c r="S284" i="62917" s="1"/>
  <c r="K282" i="62917"/>
  <c r="Q235" i="62917"/>
  <c r="R282" i="62917"/>
  <c r="S282" i="62917" s="1"/>
  <c r="Y270" i="62917"/>
  <c r="R280" i="62917"/>
  <c r="S280" i="62917" s="1"/>
  <c r="R270" i="62917"/>
  <c r="Y280" i="62917"/>
  <c r="X269" i="62917"/>
  <c r="Y237" i="62917"/>
  <c r="Y235" i="62917"/>
  <c r="Q234" i="62917"/>
  <c r="L234" i="62917"/>
  <c r="K284" i="62917"/>
  <c r="R236" i="62917"/>
  <c r="R235" i="62917"/>
  <c r="L270" i="62917"/>
  <c r="R281" i="62917"/>
  <c r="S281" i="62917" s="1"/>
  <c r="K280" i="62917"/>
  <c r="Q232" i="62917"/>
  <c r="R232" i="62917"/>
  <c r="Y236" i="62917"/>
  <c r="R283" i="62917"/>
  <c r="S283" i="62917" s="1"/>
  <c r="X283" i="62917"/>
  <c r="Y283" i="62917" s="1"/>
  <c r="Q236" i="62917"/>
  <c r="L232" i="62917"/>
  <c r="Q268" i="62917"/>
  <c r="K281" i="62917"/>
  <c r="Y234" i="62917"/>
  <c r="Y233" i="62917"/>
  <c r="L268" i="62917"/>
  <c r="W269" i="62917"/>
  <c r="Q269" i="62917"/>
  <c r="S269" i="62917" s="1"/>
  <c r="R249" i="62917"/>
  <c r="Y232" i="62917"/>
  <c r="R268" i="62917"/>
  <c r="Y268" i="62917"/>
  <c r="L269" i="62917"/>
  <c r="R234" i="62917"/>
  <c r="R248" i="62917"/>
  <c r="L249" i="62917"/>
  <c r="L235" i="62917"/>
  <c r="L237" i="62917"/>
  <c r="L233" i="62917"/>
  <c r="R233" i="62917"/>
  <c r="R237" i="62917"/>
  <c r="Q233" i="62917"/>
  <c r="Q237" i="62917"/>
  <c r="Q249" i="62917"/>
  <c r="Y249" i="62917"/>
  <c r="L236" i="62917"/>
  <c r="L248" i="62917"/>
  <c r="Q248" i="62917"/>
  <c r="Y248" i="62917"/>
  <c r="N151" i="62917"/>
  <c r="K151" i="62917"/>
  <c r="E46" i="62917"/>
  <c r="F41" i="62905"/>
  <c r="F40" i="62905"/>
  <c r="F39" i="62905"/>
  <c r="F38" i="62905"/>
  <c r="F33" i="62905"/>
  <c r="F32" i="62905"/>
  <c r="F31" i="62905"/>
  <c r="F30" i="62905"/>
  <c r="S270" i="62917" l="1"/>
  <c r="S235" i="62917"/>
  <c r="S236" i="62917"/>
  <c r="S268" i="62917"/>
  <c r="Y269" i="62917"/>
  <c r="S234" i="62917"/>
  <c r="S232" i="62917"/>
  <c r="S248" i="62917"/>
  <c r="S237" i="62917"/>
  <c r="S249" i="62917"/>
  <c r="S233" i="62917"/>
  <c r="I717" i="62917"/>
  <c r="I718" i="62917"/>
  <c r="I719" i="62917"/>
  <c r="I716" i="62917"/>
  <c r="I698" i="62917"/>
  <c r="I699" i="62917"/>
  <c r="I700" i="62917"/>
  <c r="I701" i="62917"/>
  <c r="I702" i="62917"/>
  <c r="I697" i="62917"/>
  <c r="I621" i="62917"/>
  <c r="I622" i="62917"/>
  <c r="I623" i="62917"/>
  <c r="I620" i="62917"/>
  <c r="H551" i="62917"/>
  <c r="H533" i="62917"/>
  <c r="H499" i="62917"/>
  <c r="H500" i="62917"/>
  <c r="H501" i="62917"/>
  <c r="H502" i="62917"/>
  <c r="H503" i="62917"/>
  <c r="H504" i="62917"/>
  <c r="H505" i="62917"/>
  <c r="H506" i="62917"/>
  <c r="H507" i="62917"/>
  <c r="H508" i="62917"/>
  <c r="H509" i="62917"/>
  <c r="H510" i="62917"/>
  <c r="H498" i="62917"/>
  <c r="H480" i="62917"/>
  <c r="H481" i="62917"/>
  <c r="H482" i="62917"/>
  <c r="H483" i="62917"/>
  <c r="H484" i="62917"/>
  <c r="H479" i="62917"/>
  <c r="I399" i="62917"/>
  <c r="I400" i="62917"/>
  <c r="I404" i="62917"/>
  <c r="I398" i="62917"/>
  <c r="I391" i="62917"/>
  <c r="I387" i="62917"/>
  <c r="I380" i="62917"/>
  <c r="I376" i="62917"/>
  <c r="I368" i="62917"/>
  <c r="I348" i="62917"/>
  <c r="I349" i="62917"/>
  <c r="I350" i="62917"/>
  <c r="I351" i="62917"/>
  <c r="I352" i="62917"/>
  <c r="I353" i="62917"/>
  <c r="I357" i="62917"/>
  <c r="I347" i="62917"/>
  <c r="N279" i="62917"/>
  <c r="N260" i="62917"/>
  <c r="N261" i="62917"/>
  <c r="N262" i="62917"/>
  <c r="N263" i="62917"/>
  <c r="N264" i="62917"/>
  <c r="N265" i="62917"/>
  <c r="N266" i="62917"/>
  <c r="N267" i="62917"/>
  <c r="N271" i="62917"/>
  <c r="N259" i="62917"/>
  <c r="N250" i="62917"/>
  <c r="N247" i="62917"/>
  <c r="N246" i="62917"/>
  <c r="N229" i="62917"/>
  <c r="N221" i="62917"/>
  <c r="N220" i="62917"/>
  <c r="N219" i="62917"/>
  <c r="N218" i="62917"/>
  <c r="N217" i="62917"/>
  <c r="N216" i="62917"/>
  <c r="I152" i="62917"/>
  <c r="I129" i="62917"/>
  <c r="I130" i="62917"/>
  <c r="I128" i="62917"/>
  <c r="I115" i="62917"/>
  <c r="I116" i="62917"/>
  <c r="I117" i="62917"/>
  <c r="I118" i="62917"/>
  <c r="I114" i="62917"/>
  <c r="I45" i="62917"/>
  <c r="I33" i="62917"/>
  <c r="I18" i="62917"/>
  <c r="I19" i="62917"/>
  <c r="I17" i="62917"/>
  <c r="E717" i="62917"/>
  <c r="E718" i="62917"/>
  <c r="E719" i="62917"/>
  <c r="E716" i="62917"/>
  <c r="E698" i="62917"/>
  <c r="E699" i="62917"/>
  <c r="E700" i="62917"/>
  <c r="E701" i="62917"/>
  <c r="E702" i="62917"/>
  <c r="E697" i="62917"/>
  <c r="E621" i="62917"/>
  <c r="E622" i="62917"/>
  <c r="E620" i="62917"/>
  <c r="E551" i="62917"/>
  <c r="F551" i="62917" s="1"/>
  <c r="K533" i="62917"/>
  <c r="E533" i="62917"/>
  <c r="F533" i="62917" s="1"/>
  <c r="E499" i="62917"/>
  <c r="E500" i="62917"/>
  <c r="E501" i="62917"/>
  <c r="E502" i="62917"/>
  <c r="E503" i="62917"/>
  <c r="E504" i="62917"/>
  <c r="E505" i="62917"/>
  <c r="E506" i="62917"/>
  <c r="E507" i="62917"/>
  <c r="E508" i="62917"/>
  <c r="E509" i="62917"/>
  <c r="E510" i="62917"/>
  <c r="E498" i="62917"/>
  <c r="E480" i="62917"/>
  <c r="E481" i="62917"/>
  <c r="E482" i="62917"/>
  <c r="E483" i="62917"/>
  <c r="E484" i="62917"/>
  <c r="E479" i="62917"/>
  <c r="E399" i="62917"/>
  <c r="E400" i="62917"/>
  <c r="E404" i="62917"/>
  <c r="E398" i="62917"/>
  <c r="E623" i="62917"/>
  <c r="E136" i="62922"/>
  <c r="E387" i="62917"/>
  <c r="E380" i="62917"/>
  <c r="G380" i="62917" s="1"/>
  <c r="E376" i="62917"/>
  <c r="E368" i="62917"/>
  <c r="E348" i="62917"/>
  <c r="E349" i="62917"/>
  <c r="E350" i="62917"/>
  <c r="E351" i="62917"/>
  <c r="G351" i="62917" s="1"/>
  <c r="E352" i="62917"/>
  <c r="G352" i="62917" s="1"/>
  <c r="E353" i="62917"/>
  <c r="G353" i="62917" s="1"/>
  <c r="E357" i="62917"/>
  <c r="G357" i="62917" s="1"/>
  <c r="N357" i="62917" s="1"/>
  <c r="E347" i="62917"/>
  <c r="F279" i="62917"/>
  <c r="G260" i="62917"/>
  <c r="G261" i="62917"/>
  <c r="G262" i="62917"/>
  <c r="G263" i="62917"/>
  <c r="G264" i="62917"/>
  <c r="G265" i="62917"/>
  <c r="G266" i="62917"/>
  <c r="G267" i="62917"/>
  <c r="G259" i="62917"/>
  <c r="K247" i="62917"/>
  <c r="I250" i="62917"/>
  <c r="G246" i="62917"/>
  <c r="I246" i="62917" s="1"/>
  <c r="G230" i="62917"/>
  <c r="G231" i="62917"/>
  <c r="G229" i="62917"/>
  <c r="G221" i="62917"/>
  <c r="J221" i="62917" s="1"/>
  <c r="G220" i="62917"/>
  <c r="I220" i="62917" s="1"/>
  <c r="G219" i="62917"/>
  <c r="K219" i="62917" s="1"/>
  <c r="G218" i="62917"/>
  <c r="J218" i="62917" s="1"/>
  <c r="G217" i="62917"/>
  <c r="K217" i="62917" s="1"/>
  <c r="G216" i="62917"/>
  <c r="K216" i="62917" s="1"/>
  <c r="E141" i="62917"/>
  <c r="E140" i="62917"/>
  <c r="E129" i="62917"/>
  <c r="E130" i="62917"/>
  <c r="E128" i="62917"/>
  <c r="G128" i="62917" s="1"/>
  <c r="E115" i="62917"/>
  <c r="E116" i="62917"/>
  <c r="E117" i="62917"/>
  <c r="E118" i="62917"/>
  <c r="E114" i="62917"/>
  <c r="E17" i="62917"/>
  <c r="G17" i="62917" s="1"/>
  <c r="E47" i="62917"/>
  <c r="E45" i="62917"/>
  <c r="E33" i="62917"/>
  <c r="E18" i="62917"/>
  <c r="E391" i="62917" l="1"/>
  <c r="G391" i="62917" s="1"/>
  <c r="K391" i="62917" s="1"/>
  <c r="E388" i="62917"/>
  <c r="G388" i="62917" s="1"/>
  <c r="H546" i="62917"/>
  <c r="N352" i="62917"/>
  <c r="K352" i="62917"/>
  <c r="N351" i="62917"/>
  <c r="K351" i="62917"/>
  <c r="N353" i="62917"/>
  <c r="K353" i="62917"/>
  <c r="K357" i="62917"/>
  <c r="F546" i="62917"/>
  <c r="J533" i="62917"/>
  <c r="M533" i="62917"/>
  <c r="I216" i="62917"/>
  <c r="I217" i="62917"/>
  <c r="P217" i="62917" s="1"/>
  <c r="I247" i="62917"/>
  <c r="P247" i="62917" s="1"/>
  <c r="J247" i="62917"/>
  <c r="Q247" i="62917" s="1"/>
  <c r="J220" i="62917"/>
  <c r="Q220" i="62917" s="1"/>
  <c r="K221" i="62917"/>
  <c r="R221" i="62917" s="1"/>
  <c r="K246" i="62917"/>
  <c r="R246" i="62917" s="1"/>
  <c r="I219" i="62917"/>
  <c r="P219" i="62917" s="1"/>
  <c r="J216" i="62917"/>
  <c r="J217" i="62917"/>
  <c r="Q217" i="62917" s="1"/>
  <c r="K220" i="62917"/>
  <c r="R220" i="62917" s="1"/>
  <c r="J246" i="62917"/>
  <c r="K250" i="62917"/>
  <c r="R250" i="62917" s="1"/>
  <c r="I221" i="62917"/>
  <c r="P221" i="62917" s="1"/>
  <c r="I218" i="62917"/>
  <c r="P218" i="62917" s="1"/>
  <c r="J219" i="62917"/>
  <c r="W219" i="62917" s="1"/>
  <c r="J250" i="62917"/>
  <c r="W250" i="62917" s="1"/>
  <c r="K218" i="62917"/>
  <c r="R218" i="62917" s="1"/>
  <c r="J551" i="62917"/>
  <c r="K551" i="62917"/>
  <c r="F499" i="62917"/>
  <c r="F500" i="62917"/>
  <c r="M500" i="62917" s="1"/>
  <c r="F501" i="62917"/>
  <c r="G697" i="62917"/>
  <c r="K697" i="62917" s="1"/>
  <c r="G698" i="62917"/>
  <c r="N698" i="62917" s="1"/>
  <c r="G699" i="62917"/>
  <c r="N699" i="62917" s="1"/>
  <c r="G700" i="62917"/>
  <c r="K700" i="62917" s="1"/>
  <c r="G701" i="62917"/>
  <c r="K701" i="62917" s="1"/>
  <c r="G702" i="62917"/>
  <c r="K702" i="62917" s="1"/>
  <c r="G716" i="62917"/>
  <c r="N716" i="62917" s="1"/>
  <c r="G717" i="62917"/>
  <c r="K717" i="62917" s="1"/>
  <c r="G718" i="62917"/>
  <c r="K718" i="62917" s="1"/>
  <c r="G719" i="62917"/>
  <c r="K719" i="62917" s="1"/>
  <c r="G733" i="62917"/>
  <c r="N733" i="62917" s="1"/>
  <c r="P220" i="62917"/>
  <c r="R216" i="62917"/>
  <c r="R217" i="62917"/>
  <c r="Q218" i="62917"/>
  <c r="R219" i="62917"/>
  <c r="I231" i="62917"/>
  <c r="P231" i="62917" s="1"/>
  <c r="J231" i="62917"/>
  <c r="W231" i="62917" s="1"/>
  <c r="K231" i="62917"/>
  <c r="R231" i="62917" s="1"/>
  <c r="I229" i="62917"/>
  <c r="P229" i="62917" s="1"/>
  <c r="J229" i="62917"/>
  <c r="W229" i="62917" s="1"/>
  <c r="K229" i="62917"/>
  <c r="R229" i="62917" s="1"/>
  <c r="I230" i="62917"/>
  <c r="V230" i="62917" s="1"/>
  <c r="J230" i="62917"/>
  <c r="Q230" i="62917" s="1"/>
  <c r="K230" i="62917"/>
  <c r="R230" i="62917" s="1"/>
  <c r="I238" i="62917"/>
  <c r="P238" i="62917" s="1"/>
  <c r="J238" i="62917"/>
  <c r="Q238" i="62917" s="1"/>
  <c r="K238" i="62917"/>
  <c r="R238" i="62917" s="1"/>
  <c r="R247" i="62917"/>
  <c r="P250" i="62917"/>
  <c r="I262" i="62917"/>
  <c r="P262" i="62917" s="1"/>
  <c r="J262" i="62917"/>
  <c r="W262" i="62917" s="1"/>
  <c r="K262" i="62917"/>
  <c r="R262" i="62917" s="1"/>
  <c r="I259" i="62917"/>
  <c r="P259" i="62917" s="1"/>
  <c r="J259" i="62917"/>
  <c r="Q259" i="62917" s="1"/>
  <c r="K259" i="62917"/>
  <c r="R259" i="62917" s="1"/>
  <c r="I260" i="62917"/>
  <c r="V260" i="62917" s="1"/>
  <c r="J260" i="62917"/>
  <c r="Q260" i="62917" s="1"/>
  <c r="K260" i="62917"/>
  <c r="R260" i="62917" s="1"/>
  <c r="I261" i="62917"/>
  <c r="P261" i="62917" s="1"/>
  <c r="J261" i="62917"/>
  <c r="Q261" i="62917" s="1"/>
  <c r="K261" i="62917"/>
  <c r="R261" i="62917" s="1"/>
  <c r="I263" i="62917"/>
  <c r="P263" i="62917" s="1"/>
  <c r="J263" i="62917"/>
  <c r="Q263" i="62917" s="1"/>
  <c r="K263" i="62917"/>
  <c r="R263" i="62917" s="1"/>
  <c r="I264" i="62917"/>
  <c r="P264" i="62917" s="1"/>
  <c r="J264" i="62917"/>
  <c r="Q264" i="62917" s="1"/>
  <c r="K264" i="62917"/>
  <c r="R264" i="62917" s="1"/>
  <c r="I265" i="62917"/>
  <c r="P265" i="62917" s="1"/>
  <c r="J265" i="62917"/>
  <c r="Q265" i="62917" s="1"/>
  <c r="K265" i="62917"/>
  <c r="R265" i="62917" s="1"/>
  <c r="I266" i="62917"/>
  <c r="V266" i="62917" s="1"/>
  <c r="J266" i="62917"/>
  <c r="Q266" i="62917" s="1"/>
  <c r="K266" i="62917"/>
  <c r="X266" i="62917" s="1"/>
  <c r="I267" i="62917"/>
  <c r="V267" i="62917" s="1"/>
  <c r="J267" i="62917"/>
  <c r="W267" i="62917" s="1"/>
  <c r="K267" i="62917"/>
  <c r="R267" i="62917" s="1"/>
  <c r="I271" i="62917"/>
  <c r="V271" i="62917" s="1"/>
  <c r="J271" i="62917"/>
  <c r="W271" i="62917" s="1"/>
  <c r="K271" i="62917"/>
  <c r="R271" i="62917" s="1"/>
  <c r="I279" i="62917"/>
  <c r="J279" i="62917"/>
  <c r="R279" i="62917" s="1"/>
  <c r="G347" i="62917"/>
  <c r="N347" i="62917" s="1"/>
  <c r="G348" i="62917"/>
  <c r="K348" i="62917" s="1"/>
  <c r="G349" i="62917"/>
  <c r="K349" i="62917" s="1"/>
  <c r="G350" i="62917"/>
  <c r="K350" i="62917" s="1"/>
  <c r="G368" i="62917"/>
  <c r="G387" i="62917"/>
  <c r="N387" i="62917" s="1"/>
  <c r="G376" i="62917"/>
  <c r="K376" i="62917" s="1"/>
  <c r="K380" i="62917"/>
  <c r="G398" i="62917"/>
  <c r="K398" i="62917" s="1"/>
  <c r="G399" i="62917"/>
  <c r="K399" i="62917" s="1"/>
  <c r="G400" i="62917"/>
  <c r="K400" i="62917" s="1"/>
  <c r="G404" i="62917"/>
  <c r="K404" i="62917" s="1"/>
  <c r="F479" i="62917"/>
  <c r="M479" i="62917" s="1"/>
  <c r="F480" i="62917"/>
  <c r="J480" i="62917" s="1"/>
  <c r="F481" i="62917"/>
  <c r="J481" i="62917" s="1"/>
  <c r="F482" i="62917"/>
  <c r="J482" i="62917" s="1"/>
  <c r="F483" i="62917"/>
  <c r="J483" i="62917" s="1"/>
  <c r="F484" i="62917"/>
  <c r="J484" i="62917" s="1"/>
  <c r="F498" i="62917"/>
  <c r="J498" i="62917" s="1"/>
  <c r="F502" i="62917"/>
  <c r="M502" i="62917" s="1"/>
  <c r="F503" i="62917"/>
  <c r="J503" i="62917" s="1"/>
  <c r="F504" i="62917"/>
  <c r="M504" i="62917" s="1"/>
  <c r="F505" i="62917"/>
  <c r="M505" i="62917" s="1"/>
  <c r="F506" i="62917"/>
  <c r="M506" i="62917" s="1"/>
  <c r="F507" i="62917"/>
  <c r="J507" i="62917" s="1"/>
  <c r="F508" i="62917"/>
  <c r="J508" i="62917" s="1"/>
  <c r="F509" i="62917"/>
  <c r="J509" i="62917" s="1"/>
  <c r="F510" i="62917"/>
  <c r="J510" i="62917" s="1"/>
  <c r="G620" i="62917"/>
  <c r="N620" i="62917" s="1"/>
  <c r="G621" i="62917"/>
  <c r="K621" i="62917" s="1"/>
  <c r="K622" i="62917"/>
  <c r="K623" i="62917"/>
  <c r="G114" i="62917"/>
  <c r="G115" i="62917"/>
  <c r="K115" i="62917" s="1"/>
  <c r="G116" i="62917"/>
  <c r="K116" i="62917" s="1"/>
  <c r="G117" i="62917"/>
  <c r="K117" i="62917" s="1"/>
  <c r="G118" i="62917"/>
  <c r="K118" i="62917" s="1"/>
  <c r="N128" i="62917"/>
  <c r="G129" i="62917"/>
  <c r="N129" i="62917" s="1"/>
  <c r="G130" i="62917"/>
  <c r="K130" i="62917" s="1"/>
  <c r="G140" i="62917"/>
  <c r="G141" i="62917"/>
  <c r="N141" i="62917" s="1"/>
  <c r="G152" i="62917"/>
  <c r="N18" i="62917"/>
  <c r="K19" i="62917"/>
  <c r="K20" i="62917"/>
  <c r="G33" i="62917"/>
  <c r="G45" i="62917"/>
  <c r="G46" i="62917"/>
  <c r="G47" i="62917"/>
  <c r="L739" i="62917"/>
  <c r="L733" i="62917"/>
  <c r="N420" i="62917"/>
  <c r="N404" i="62917"/>
  <c r="L404" i="62917"/>
  <c r="I420" i="62917"/>
  <c r="L719" i="62917"/>
  <c r="L718" i="62917"/>
  <c r="L717" i="62917"/>
  <c r="L716" i="62917"/>
  <c r="L699" i="62917"/>
  <c r="L702" i="62917"/>
  <c r="L701" i="62917"/>
  <c r="L700" i="62917"/>
  <c r="L698" i="62917"/>
  <c r="L697" i="62917"/>
  <c r="L623" i="62917"/>
  <c r="L622" i="62917"/>
  <c r="L621" i="62917"/>
  <c r="L620" i="62917"/>
  <c r="K510" i="62917"/>
  <c r="K509" i="62917"/>
  <c r="K508" i="62917"/>
  <c r="K507" i="62917"/>
  <c r="K506" i="62917"/>
  <c r="K505" i="62917"/>
  <c r="K504" i="62917"/>
  <c r="K503" i="62917"/>
  <c r="K502" i="62917"/>
  <c r="K501" i="62917"/>
  <c r="K499" i="62917"/>
  <c r="K498" i="62917"/>
  <c r="K481" i="62917"/>
  <c r="K484" i="62917"/>
  <c r="K483" i="62917"/>
  <c r="K482" i="62917"/>
  <c r="K480" i="62917"/>
  <c r="K479" i="62917"/>
  <c r="L399" i="62917"/>
  <c r="L400" i="62917"/>
  <c r="L398" i="62917"/>
  <c r="L387" i="62917"/>
  <c r="L391" i="62917"/>
  <c r="L380" i="62917"/>
  <c r="L376" i="62917"/>
  <c r="L368" i="62917"/>
  <c r="I369" i="62917" s="1"/>
  <c r="L347" i="62917"/>
  <c r="I358" i="62917" s="1"/>
  <c r="T279" i="62917"/>
  <c r="T262" i="62917"/>
  <c r="T259" i="62917"/>
  <c r="T260" i="62917"/>
  <c r="T261" i="62917"/>
  <c r="T263" i="62917"/>
  <c r="T264" i="62917"/>
  <c r="T265" i="62917"/>
  <c r="T266" i="62917"/>
  <c r="T267" i="62917"/>
  <c r="T271" i="62917"/>
  <c r="T246" i="62917"/>
  <c r="T247" i="62917"/>
  <c r="T250" i="62917"/>
  <c r="T230" i="62917"/>
  <c r="T231" i="62917"/>
  <c r="T238" i="62917"/>
  <c r="T229" i="62917"/>
  <c r="T217" i="62917"/>
  <c r="T218" i="62917"/>
  <c r="T219" i="62917"/>
  <c r="T220" i="62917"/>
  <c r="T221" i="62917"/>
  <c r="T216" i="62917"/>
  <c r="L152" i="62917"/>
  <c r="I157" i="62917" s="1"/>
  <c r="L141" i="62917"/>
  <c r="L140" i="62917"/>
  <c r="L128" i="62917"/>
  <c r="L130" i="62917"/>
  <c r="L129" i="62917"/>
  <c r="L115" i="62917"/>
  <c r="L116" i="62917"/>
  <c r="L117" i="62917"/>
  <c r="L118" i="62917"/>
  <c r="L114" i="62917"/>
  <c r="L45" i="62917"/>
  <c r="I51" i="62917" s="1"/>
  <c r="L33" i="62917"/>
  <c r="I37" i="62917" s="1"/>
  <c r="L17" i="62917"/>
  <c r="L18" i="62917"/>
  <c r="L20" i="62917"/>
  <c r="L19" i="62917"/>
  <c r="B40" i="62916"/>
  <c r="X216" i="62917"/>
  <c r="W218" i="62917"/>
  <c r="X247" i="62917"/>
  <c r="N398" i="62917"/>
  <c r="N399" i="62917"/>
  <c r="N400" i="62917"/>
  <c r="B33" i="62916"/>
  <c r="B43" i="62916"/>
  <c r="B42" i="62916"/>
  <c r="B36" i="62916"/>
  <c r="B31" i="62916"/>
  <c r="B41" i="62916"/>
  <c r="B37" i="62916"/>
  <c r="B34" i="62916"/>
  <c r="B32" i="62916"/>
  <c r="B25" i="62916"/>
  <c r="B26" i="62916"/>
  <c r="B27" i="62916"/>
  <c r="B28" i="62916"/>
  <c r="B29" i="62916"/>
  <c r="B24" i="62916"/>
  <c r="B19" i="62916"/>
  <c r="B20" i="62916"/>
  <c r="B21" i="62916"/>
  <c r="B18" i="62916"/>
  <c r="B13" i="62916"/>
  <c r="B14" i="62916"/>
  <c r="B15" i="62916"/>
  <c r="B12" i="62916"/>
  <c r="B8" i="62916"/>
  <c r="B9" i="62916"/>
  <c r="B7" i="62916"/>
  <c r="B11" i="62916"/>
  <c r="B17" i="62916"/>
  <c r="B23" i="62916"/>
  <c r="D6" i="62905"/>
  <c r="D7" i="62905"/>
  <c r="D8" i="62905"/>
  <c r="D9" i="62905"/>
  <c r="D10" i="62905"/>
  <c r="D11" i="62905"/>
  <c r="D15" i="62905"/>
  <c r="O16" i="62905"/>
  <c r="F15" i="62905"/>
  <c r="P15" i="62905"/>
  <c r="M18" i="62905" s="1"/>
  <c r="D18" i="62905" s="1"/>
  <c r="Q17" i="62905"/>
  <c r="Q15" i="62905" s="1"/>
  <c r="I15" i="62905"/>
  <c r="E16" i="62905"/>
  <c r="M17" i="62905"/>
  <c r="D17" i="62905" s="1"/>
  <c r="F17" i="62905"/>
  <c r="P17" i="62905"/>
  <c r="G17" i="62905"/>
  <c r="M20" i="62905"/>
  <c r="D20" i="62905" s="1"/>
  <c r="O21" i="62905"/>
  <c r="F18" i="62905"/>
  <c r="G18" i="62905"/>
  <c r="S18" i="62905"/>
  <c r="J18" i="62905" s="1"/>
  <c r="F19" i="62905"/>
  <c r="H19" i="62905"/>
  <c r="I20" i="62905"/>
  <c r="G21" i="62905"/>
  <c r="J21" i="62905"/>
  <c r="X217" i="62917"/>
  <c r="F21" i="62905"/>
  <c r="S17" i="62905"/>
  <c r="J17" i="62905" s="1"/>
  <c r="E40" i="62916"/>
  <c r="E23" i="62916"/>
  <c r="M551" i="62917"/>
  <c r="E36" i="62916"/>
  <c r="W221" i="62917"/>
  <c r="E31" i="62916"/>
  <c r="E6" i="62916"/>
  <c r="E11" i="62916"/>
  <c r="E17" i="62916"/>
  <c r="H17" i="62905" l="1"/>
  <c r="Q16" i="62905"/>
  <c r="M19" i="62905"/>
  <c r="D19" i="62905" s="1"/>
  <c r="H15" i="62905"/>
  <c r="P20" i="62905"/>
  <c r="G20" i="62905" s="1"/>
  <c r="F16" i="62905"/>
  <c r="N15" i="62905"/>
  <c r="E15" i="62905" s="1"/>
  <c r="N17" i="62905"/>
  <c r="E17" i="62905" s="1"/>
  <c r="O20" i="62905"/>
  <c r="P16" i="62905"/>
  <c r="N388" i="62917"/>
  <c r="K388" i="62917"/>
  <c r="K368" i="62917"/>
  <c r="G369" i="62917"/>
  <c r="D430" i="62917" s="1"/>
  <c r="K733" i="62917"/>
  <c r="K740" i="62917" s="1"/>
  <c r="H750" i="62917" s="1"/>
  <c r="I750" i="62917" s="1"/>
  <c r="K17" i="62917"/>
  <c r="G25" i="62917"/>
  <c r="E59" i="62917" s="1"/>
  <c r="C7" i="62916" s="1"/>
  <c r="K33" i="62917"/>
  <c r="G37" i="62917"/>
  <c r="E60" i="62917" s="1"/>
  <c r="C8" i="62916" s="1"/>
  <c r="N45" i="62917"/>
  <c r="G51" i="62917"/>
  <c r="E61" i="62917" s="1"/>
  <c r="N47" i="62917"/>
  <c r="K47" i="62917"/>
  <c r="N46" i="62917"/>
  <c r="K46" i="62917"/>
  <c r="G157" i="62917"/>
  <c r="E168" i="62917" s="1"/>
  <c r="N152" i="62917"/>
  <c r="N157" i="62917" s="1"/>
  <c r="P157" i="62917" s="1"/>
  <c r="K114" i="62917"/>
  <c r="K122" i="62917" s="1"/>
  <c r="I165" i="62917" s="1"/>
  <c r="J165" i="62917" s="1"/>
  <c r="G122" i="62917"/>
  <c r="E165" i="62917" s="1"/>
  <c r="K140" i="62917"/>
  <c r="G145" i="62917"/>
  <c r="E167" i="62917" s="1"/>
  <c r="V217" i="62917"/>
  <c r="G134" i="62917"/>
  <c r="E166" i="62917" s="1"/>
  <c r="W216" i="62917"/>
  <c r="J222" i="62917"/>
  <c r="P216" i="62917"/>
  <c r="P222" i="62917" s="1"/>
  <c r="I222" i="62917"/>
  <c r="R222" i="62917"/>
  <c r="K222" i="62917"/>
  <c r="N719" i="62917"/>
  <c r="J504" i="62917"/>
  <c r="N701" i="62917"/>
  <c r="K620" i="62917"/>
  <c r="K631" i="62917" s="1"/>
  <c r="I649" i="62917" s="1"/>
  <c r="M507" i="62917"/>
  <c r="N702" i="62917"/>
  <c r="M508" i="62917"/>
  <c r="N19" i="62905"/>
  <c r="E19" i="62905" s="1"/>
  <c r="H16" i="62905"/>
  <c r="M21" i="62905"/>
  <c r="N18" i="62905"/>
  <c r="E18" i="62905" s="1"/>
  <c r="Q20" i="62905"/>
  <c r="P19" i="62905"/>
  <c r="G15" i="62905"/>
  <c r="H561" i="62917"/>
  <c r="M503" i="62917"/>
  <c r="J546" i="62917"/>
  <c r="Q216" i="62917"/>
  <c r="M546" i="62917"/>
  <c r="O546" i="62917" s="1"/>
  <c r="I740" i="62917"/>
  <c r="K698" i="62917"/>
  <c r="M498" i="62917"/>
  <c r="N717" i="62917"/>
  <c r="G420" i="62917"/>
  <c r="D434" i="62917" s="1"/>
  <c r="E434" i="62917" s="1"/>
  <c r="K411" i="62917"/>
  <c r="K420" i="62917" s="1"/>
  <c r="I434" i="62917" s="1"/>
  <c r="J434" i="62917" s="1"/>
  <c r="N718" i="62917"/>
  <c r="N20" i="62917"/>
  <c r="F561" i="62917"/>
  <c r="K699" i="62917"/>
  <c r="J505" i="62917"/>
  <c r="J500" i="62917"/>
  <c r="J506" i="62917"/>
  <c r="M510" i="62917"/>
  <c r="X238" i="62917"/>
  <c r="V229" i="62917"/>
  <c r="M480" i="62917"/>
  <c r="M484" i="62917"/>
  <c r="W230" i="62917"/>
  <c r="J251" i="62917"/>
  <c r="W238" i="62917"/>
  <c r="K45" i="62917"/>
  <c r="X260" i="62917"/>
  <c r="X265" i="62917"/>
  <c r="P267" i="62917"/>
  <c r="V231" i="62917"/>
  <c r="X230" i="62917"/>
  <c r="V263" i="62917"/>
  <c r="K381" i="62917"/>
  <c r="I431" i="62917" s="1"/>
  <c r="J431" i="62917" s="1"/>
  <c r="Q219" i="62917"/>
  <c r="X271" i="62917"/>
  <c r="Y271" i="62917" s="1"/>
  <c r="K347" i="62917"/>
  <c r="K358" i="62917" s="1"/>
  <c r="I429" i="62917" s="1"/>
  <c r="J429" i="62917" s="1"/>
  <c r="N376" i="62917"/>
  <c r="V262" i="62917"/>
  <c r="W247" i="62917"/>
  <c r="N116" i="62917"/>
  <c r="I285" i="62917"/>
  <c r="L218" i="62917"/>
  <c r="N380" i="62917"/>
  <c r="G381" i="62917"/>
  <c r="D431" i="62917" s="1"/>
  <c r="J561" i="62917"/>
  <c r="H572" i="62917" s="1"/>
  <c r="I572" i="62917" s="1"/>
  <c r="N623" i="62917"/>
  <c r="I381" i="62917"/>
  <c r="W246" i="62917"/>
  <c r="M509" i="62917"/>
  <c r="L229" i="62917"/>
  <c r="G392" i="62917"/>
  <c r="D432" i="62917" s="1"/>
  <c r="N117" i="62917"/>
  <c r="V218" i="62917"/>
  <c r="X279" i="62917"/>
  <c r="K18" i="62917"/>
  <c r="X220" i="62917"/>
  <c r="Q279" i="62917"/>
  <c r="W279" i="62917"/>
  <c r="Q246" i="62917"/>
  <c r="V238" i="62917"/>
  <c r="Q231" i="62917"/>
  <c r="S231" i="62917" s="1"/>
  <c r="X229" i="62917"/>
  <c r="V221" i="62917"/>
  <c r="X219" i="62917"/>
  <c r="V219" i="62917"/>
  <c r="K128" i="62917"/>
  <c r="N17" i="62917"/>
  <c r="K387" i="62917"/>
  <c r="N140" i="62917"/>
  <c r="N145" i="62917" s="1"/>
  <c r="K716" i="62917"/>
  <c r="K727" i="62917" s="1"/>
  <c r="H749" i="62917" s="1"/>
  <c r="I749" i="62917" s="1"/>
  <c r="V250" i="62917"/>
  <c r="P266" i="62917"/>
  <c r="M483" i="62917"/>
  <c r="N114" i="62917"/>
  <c r="X259" i="62917"/>
  <c r="N222" i="62917"/>
  <c r="N285" i="62917"/>
  <c r="L246" i="62917"/>
  <c r="K239" i="62917"/>
  <c r="L221" i="62917"/>
  <c r="N350" i="62917"/>
  <c r="Q262" i="62917"/>
  <c r="S262" i="62917" s="1"/>
  <c r="Q267" i="62917"/>
  <c r="N19" i="62917"/>
  <c r="I134" i="62917"/>
  <c r="G405" i="62917"/>
  <c r="D433" i="62917" s="1"/>
  <c r="E433" i="62917" s="1"/>
  <c r="L238" i="62917"/>
  <c r="L231" i="62917"/>
  <c r="J502" i="62917"/>
  <c r="N697" i="62917"/>
  <c r="N118" i="62917"/>
  <c r="X246" i="62917"/>
  <c r="X221" i="62917"/>
  <c r="I145" i="62917"/>
  <c r="G740" i="62917"/>
  <c r="C43" i="62916" s="1"/>
  <c r="Q229" i="62917"/>
  <c r="S229" i="62917" s="1"/>
  <c r="J239" i="62917"/>
  <c r="L219" i="62917"/>
  <c r="K129" i="62917"/>
  <c r="M482" i="62917"/>
  <c r="W220" i="62917"/>
  <c r="X218" i="62917"/>
  <c r="I25" i="62917"/>
  <c r="L247" i="62917"/>
  <c r="G710" i="62917"/>
  <c r="D748" i="62917" s="1"/>
  <c r="C41" i="62916" s="1"/>
  <c r="M561" i="62917"/>
  <c r="L572" i="62917" s="1"/>
  <c r="M572" i="62917" s="1"/>
  <c r="N621" i="62917"/>
  <c r="N368" i="62917"/>
  <c r="M481" i="62917"/>
  <c r="N391" i="62917"/>
  <c r="N349" i="62917"/>
  <c r="W259" i="62917"/>
  <c r="X231" i="62917"/>
  <c r="I405" i="62917"/>
  <c r="H492" i="62917"/>
  <c r="I727" i="62917"/>
  <c r="K141" i="62917"/>
  <c r="J479" i="62917"/>
  <c r="J492" i="62917" s="1"/>
  <c r="H570" i="62917" s="1"/>
  <c r="N239" i="62917"/>
  <c r="J499" i="62917"/>
  <c r="M499" i="62917"/>
  <c r="S238" i="62917"/>
  <c r="R251" i="62917"/>
  <c r="S217" i="62917"/>
  <c r="K279" i="62917"/>
  <c r="I251" i="62917"/>
  <c r="N348" i="62917"/>
  <c r="L230" i="62917"/>
  <c r="G631" i="62917"/>
  <c r="E649" i="62917" s="1"/>
  <c r="E651" i="62917" s="1"/>
  <c r="L250" i="62917"/>
  <c r="P246" i="62917"/>
  <c r="G727" i="62917"/>
  <c r="D749" i="62917" s="1"/>
  <c r="C42" i="62916" s="1"/>
  <c r="V220" i="62917"/>
  <c r="N33" i="62917"/>
  <c r="L217" i="62917"/>
  <c r="N115" i="62917"/>
  <c r="H527" i="62917"/>
  <c r="I631" i="62917"/>
  <c r="I710" i="62917"/>
  <c r="Q250" i="62917"/>
  <c r="N740" i="62917"/>
  <c r="J285" i="62917"/>
  <c r="V247" i="62917"/>
  <c r="G358" i="62917"/>
  <c r="D429" i="62917" s="1"/>
  <c r="Q221" i="62917"/>
  <c r="N622" i="62917"/>
  <c r="V246" i="62917"/>
  <c r="I239" i="62917"/>
  <c r="N251" i="62917"/>
  <c r="I392" i="62917"/>
  <c r="F492" i="62917"/>
  <c r="S247" i="62917"/>
  <c r="L216" i="62917"/>
  <c r="L220" i="62917"/>
  <c r="X250" i="62917"/>
  <c r="N700" i="62917"/>
  <c r="K251" i="62917"/>
  <c r="N130" i="62917"/>
  <c r="W217" i="62917"/>
  <c r="I122" i="62917"/>
  <c r="V265" i="62917"/>
  <c r="W261" i="62917"/>
  <c r="X264" i="62917"/>
  <c r="L265" i="62917"/>
  <c r="L261" i="62917"/>
  <c r="V264" i="62917"/>
  <c r="L262" i="62917"/>
  <c r="X263" i="62917"/>
  <c r="W260" i="62917"/>
  <c r="R266" i="62917"/>
  <c r="L259" i="62917"/>
  <c r="W265" i="62917"/>
  <c r="S259" i="62917"/>
  <c r="P260" i="62917"/>
  <c r="S260" i="62917" s="1"/>
  <c r="W264" i="62917"/>
  <c r="L271" i="62917"/>
  <c r="L266" i="62917"/>
  <c r="I272" i="62917"/>
  <c r="K272" i="62917"/>
  <c r="V259" i="62917"/>
  <c r="L260" i="62917"/>
  <c r="S265" i="62917"/>
  <c r="L263" i="62917"/>
  <c r="P271" i="62917"/>
  <c r="V261" i="62917"/>
  <c r="N272" i="62917"/>
  <c r="Q271" i="62917"/>
  <c r="W263" i="62917"/>
  <c r="L267" i="62917"/>
  <c r="W266" i="62917"/>
  <c r="Y266" i="62917" s="1"/>
  <c r="J272" i="62917"/>
  <c r="X262" i="62917"/>
  <c r="L264" i="62917"/>
  <c r="X267" i="62917"/>
  <c r="Y267" i="62917" s="1"/>
  <c r="S263" i="62917"/>
  <c r="X261" i="62917"/>
  <c r="R285" i="62917"/>
  <c r="R239" i="62917"/>
  <c r="S220" i="62917"/>
  <c r="J501" i="62917"/>
  <c r="M501" i="62917"/>
  <c r="F527" i="62917"/>
  <c r="D571" i="62917" s="1"/>
  <c r="C33" i="62916" s="1"/>
  <c r="C31" i="62916" s="1"/>
  <c r="M434" i="62917"/>
  <c r="N434" i="62917" s="1"/>
  <c r="P420" i="62917"/>
  <c r="S218" i="62917"/>
  <c r="K405" i="62917"/>
  <c r="I433" i="62917" s="1"/>
  <c r="J433" i="62917" s="1"/>
  <c r="S264" i="62917"/>
  <c r="S261" i="62917"/>
  <c r="N405" i="62917"/>
  <c r="K152" i="62917"/>
  <c r="K157" i="62917" s="1"/>
  <c r="P230" i="62917"/>
  <c r="V216" i="62917"/>
  <c r="R16" i="62905" l="1"/>
  <c r="I16" i="62905" s="1"/>
  <c r="N20" i="62905"/>
  <c r="E20" i="62905" s="1"/>
  <c r="M16" i="62905"/>
  <c r="D16" i="62905" s="1"/>
  <c r="F61" i="62917"/>
  <c r="C9" i="62916"/>
  <c r="C6" i="62916"/>
  <c r="H8" i="62916" s="1"/>
  <c r="R18" i="62905"/>
  <c r="I18" i="62905" s="1"/>
  <c r="J649" i="62917"/>
  <c r="J651" i="62917" s="1"/>
  <c r="I651" i="62917"/>
  <c r="G16" i="62905"/>
  <c r="N21" i="62905"/>
  <c r="F20" i="62905"/>
  <c r="R17" i="62905"/>
  <c r="I17" i="62905" s="1"/>
  <c r="K165" i="62917"/>
  <c r="J749" i="62917"/>
  <c r="K392" i="62917"/>
  <c r="I432" i="62917" s="1"/>
  <c r="J432" i="62917" s="1"/>
  <c r="N392" i="62917"/>
  <c r="P392" i="62917" s="1"/>
  <c r="D572" i="62917"/>
  <c r="D570" i="62917"/>
  <c r="N369" i="62917"/>
  <c r="M430" i="62917" s="1"/>
  <c r="N430" i="62917" s="1"/>
  <c r="K369" i="62917"/>
  <c r="I430" i="62917" s="1"/>
  <c r="N25" i="62917"/>
  <c r="M59" i="62917" s="1"/>
  <c r="N59" i="62917" s="1"/>
  <c r="K25" i="62917"/>
  <c r="I59" i="62917" s="1"/>
  <c r="J59" i="62917" s="1"/>
  <c r="N37" i="62917"/>
  <c r="P37" i="62917" s="1"/>
  <c r="K37" i="62917"/>
  <c r="I60" i="62917" s="1"/>
  <c r="J60" i="62917" s="1"/>
  <c r="K51" i="62917"/>
  <c r="I61" i="62917" s="1"/>
  <c r="K61" i="62917" s="1"/>
  <c r="N51" i="62917"/>
  <c r="P51" i="62917" s="1"/>
  <c r="N122" i="62917"/>
  <c r="M165" i="62917" s="1"/>
  <c r="N165" i="62917" s="1"/>
  <c r="M168" i="62917"/>
  <c r="N168" i="62917" s="1"/>
  <c r="Y217" i="62917"/>
  <c r="K134" i="62917"/>
  <c r="I166" i="62917" s="1"/>
  <c r="J166" i="62917" s="1"/>
  <c r="K145" i="62917"/>
  <c r="I167" i="62917" s="1"/>
  <c r="J167" i="62917" s="1"/>
  <c r="N134" i="62917"/>
  <c r="P134" i="62917" s="1"/>
  <c r="X222" i="62917"/>
  <c r="V222" i="62917"/>
  <c r="L222" i="62917"/>
  <c r="D299" i="62917" s="1"/>
  <c r="C18" i="62916" s="1"/>
  <c r="Q222" i="62917"/>
  <c r="W222" i="62917"/>
  <c r="I168" i="62917"/>
  <c r="J168" i="62917" s="1"/>
  <c r="S216" i="62917"/>
  <c r="K710" i="62917"/>
  <c r="H748" i="62917" s="1"/>
  <c r="H751" i="62917" s="1"/>
  <c r="Q18" i="62905"/>
  <c r="G19" i="62905"/>
  <c r="S15" i="62905"/>
  <c r="J15" i="62905" s="1"/>
  <c r="D21" i="62905"/>
  <c r="H20" i="62905"/>
  <c r="R19" i="62905"/>
  <c r="I19" i="62905" s="1"/>
  <c r="Y260" i="62917"/>
  <c r="N727" i="62917"/>
  <c r="P727" i="62917" s="1"/>
  <c r="K434" i="62917"/>
  <c r="O434" i="62917"/>
  <c r="Y229" i="62917"/>
  <c r="D750" i="62917"/>
  <c r="N750" i="62917" s="1"/>
  <c r="Y231" i="62917"/>
  <c r="Y238" i="62917"/>
  <c r="S267" i="62917"/>
  <c r="K285" i="62917"/>
  <c r="D302" i="62917" s="1"/>
  <c r="C21" i="62916" s="1"/>
  <c r="E432" i="62917"/>
  <c r="Y221" i="62917"/>
  <c r="K433" i="62917"/>
  <c r="O433" i="62917"/>
  <c r="Y230" i="62917"/>
  <c r="W239" i="62917"/>
  <c r="K166" i="62917"/>
  <c r="V239" i="62917"/>
  <c r="S219" i="62917"/>
  <c r="F166" i="62917"/>
  <c r="Q251" i="62917"/>
  <c r="O166" i="62917"/>
  <c r="K431" i="62917"/>
  <c r="E431" i="62917"/>
  <c r="W285" i="62917"/>
  <c r="Y247" i="62917"/>
  <c r="W251" i="62917"/>
  <c r="N381" i="62917"/>
  <c r="M431" i="62917" s="1"/>
  <c r="N431" i="62917" s="1"/>
  <c r="Q285" i="62917"/>
  <c r="O430" i="62917"/>
  <c r="K430" i="62917"/>
  <c r="E430" i="62917"/>
  <c r="O431" i="62917"/>
  <c r="N631" i="62917"/>
  <c r="Y279" i="62917"/>
  <c r="S279" i="62917"/>
  <c r="S285" i="62917" s="1"/>
  <c r="I302" i="62917" s="1"/>
  <c r="J302" i="62917" s="1"/>
  <c r="Y219" i="62917"/>
  <c r="Y218" i="62917"/>
  <c r="Y246" i="62917"/>
  <c r="K167" i="62917"/>
  <c r="F167" i="62917"/>
  <c r="O167" i="62917"/>
  <c r="M167" i="62917"/>
  <c r="N167" i="62917" s="1"/>
  <c r="P145" i="62917"/>
  <c r="X285" i="62917"/>
  <c r="K649" i="62917"/>
  <c r="L251" i="62917"/>
  <c r="M527" i="62917"/>
  <c r="L571" i="62917" s="1"/>
  <c r="M571" i="62917" s="1"/>
  <c r="X239" i="62917"/>
  <c r="F649" i="62917"/>
  <c r="F651" i="62917" s="1"/>
  <c r="G650" i="62917" s="1"/>
  <c r="N710" i="62917"/>
  <c r="L748" i="62917" s="1"/>
  <c r="N748" i="62917" s="1"/>
  <c r="O561" i="62917"/>
  <c r="Y220" i="62917"/>
  <c r="S266" i="62917"/>
  <c r="X251" i="62917"/>
  <c r="L239" i="62917"/>
  <c r="Y259" i="62917"/>
  <c r="J527" i="62917"/>
  <c r="H571" i="62917" s="1"/>
  <c r="I571" i="62917" s="1"/>
  <c r="Q239" i="62917"/>
  <c r="S250" i="62917"/>
  <c r="E748" i="62917"/>
  <c r="V251" i="62917"/>
  <c r="F59" i="62917"/>
  <c r="E169" i="62917"/>
  <c r="M492" i="62917"/>
  <c r="L570" i="62917" s="1"/>
  <c r="P434" i="62917"/>
  <c r="F165" i="62917"/>
  <c r="Y250" i="62917"/>
  <c r="L750" i="62917"/>
  <c r="M750" i="62917" s="1"/>
  <c r="P740" i="62917"/>
  <c r="E429" i="62917"/>
  <c r="C40" i="62916"/>
  <c r="H14" i="62916" s="1"/>
  <c r="L14" i="62916" s="1"/>
  <c r="Y265" i="62917"/>
  <c r="D294" i="62917"/>
  <c r="S246" i="62917"/>
  <c r="P251" i="62917"/>
  <c r="N358" i="62917"/>
  <c r="D435" i="62917"/>
  <c r="E795" i="62917" s="1"/>
  <c r="E749" i="62917"/>
  <c r="S221" i="62917"/>
  <c r="K429" i="62917"/>
  <c r="W272" i="62917"/>
  <c r="P272" i="62917"/>
  <c r="S271" i="62917"/>
  <c r="Y264" i="62917"/>
  <c r="R272" i="62917"/>
  <c r="X272" i="62917"/>
  <c r="Y261" i="62917"/>
  <c r="Q272" i="62917"/>
  <c r="Y263" i="62917"/>
  <c r="L272" i="62917"/>
  <c r="D301" i="62917" s="1"/>
  <c r="V272" i="62917"/>
  <c r="Y262" i="62917"/>
  <c r="D295" i="62917"/>
  <c r="D293" i="62917"/>
  <c r="E571" i="62917"/>
  <c r="F60" i="62917"/>
  <c r="S230" i="62917"/>
  <c r="S239" i="62917" s="1"/>
  <c r="P239" i="62917"/>
  <c r="I570" i="62917"/>
  <c r="Y216" i="62917"/>
  <c r="O168" i="62917"/>
  <c r="K168" i="62917"/>
  <c r="F168" i="62917"/>
  <c r="P405" i="62917"/>
  <c r="M433" i="62917"/>
  <c r="N433" i="62917" s="1"/>
  <c r="P433" i="62917" s="1"/>
  <c r="E62" i="62917"/>
  <c r="N570" i="62917" l="1"/>
  <c r="C32" i="62916"/>
  <c r="N572" i="62917"/>
  <c r="C34" i="62916"/>
  <c r="E301" i="62917"/>
  <c r="C20" i="62916"/>
  <c r="K302" i="62917"/>
  <c r="J572" i="62917"/>
  <c r="O165" i="62917"/>
  <c r="M649" i="62917"/>
  <c r="O649" i="62917" s="1"/>
  <c r="E572" i="62917"/>
  <c r="O572" i="62917" s="1"/>
  <c r="K59" i="62917"/>
  <c r="S16" i="62905"/>
  <c r="J16" i="62905" s="1"/>
  <c r="E21" i="62905"/>
  <c r="J748" i="62917"/>
  <c r="K651" i="62917"/>
  <c r="K432" i="62917"/>
  <c r="N571" i="62917"/>
  <c r="J571" i="62917"/>
  <c r="K60" i="62917"/>
  <c r="M432" i="62917"/>
  <c r="O59" i="62917"/>
  <c r="P369" i="62917"/>
  <c r="E570" i="62917"/>
  <c r="J570" i="62917"/>
  <c r="D573" i="62917"/>
  <c r="J430" i="62917"/>
  <c r="J435" i="62917" s="1"/>
  <c r="I435" i="62917"/>
  <c r="K435" i="62917" s="1"/>
  <c r="I293" i="62917"/>
  <c r="J293" i="62917" s="1"/>
  <c r="M293" i="62917"/>
  <c r="O293" i="62917" s="1"/>
  <c r="D300" i="62917"/>
  <c r="C19" i="62916" s="1"/>
  <c r="M60" i="62917"/>
  <c r="P168" i="62917"/>
  <c r="J61" i="62917"/>
  <c r="J62" i="62917" s="1"/>
  <c r="I62" i="62917"/>
  <c r="I792" i="62917" s="1"/>
  <c r="J792" i="62917" s="1"/>
  <c r="M166" i="62917"/>
  <c r="N166" i="62917" s="1"/>
  <c r="N169" i="62917" s="1"/>
  <c r="S222" i="62917"/>
  <c r="I299" i="62917" s="1"/>
  <c r="J299" i="62917" s="1"/>
  <c r="Y222" i="62917"/>
  <c r="P381" i="62917"/>
  <c r="J169" i="62917"/>
  <c r="J750" i="62917"/>
  <c r="I748" i="62917"/>
  <c r="I751" i="62917" s="1"/>
  <c r="P710" i="62917"/>
  <c r="L749" i="62917"/>
  <c r="C23" i="62916"/>
  <c r="E750" i="62917"/>
  <c r="O750" i="62917" s="1"/>
  <c r="H18" i="62905"/>
  <c r="Q21" i="62905"/>
  <c r="D751" i="62917"/>
  <c r="E798" i="62917" s="1"/>
  <c r="C37" i="62916"/>
  <c r="Y285" i="62917"/>
  <c r="AA285" i="62917" s="1"/>
  <c r="I573" i="62917"/>
  <c r="Y239" i="62917"/>
  <c r="AA239" i="62917" s="1"/>
  <c r="E302" i="62917"/>
  <c r="M61" i="62917"/>
  <c r="I169" i="62917"/>
  <c r="K169" i="62917" s="1"/>
  <c r="E793" i="62917"/>
  <c r="P25" i="62917"/>
  <c r="E435" i="62917"/>
  <c r="F432" i="62917" s="1"/>
  <c r="P431" i="62917"/>
  <c r="P165" i="62917"/>
  <c r="P122" i="62917"/>
  <c r="I295" i="62917"/>
  <c r="J295" i="62917" s="1"/>
  <c r="P59" i="62917"/>
  <c r="C11" i="62916"/>
  <c r="H9" i="62916" s="1"/>
  <c r="L9" i="62916" s="1"/>
  <c r="S272" i="62917"/>
  <c r="I301" i="62917" s="1"/>
  <c r="J301" i="62917" s="1"/>
  <c r="P631" i="62917"/>
  <c r="P167" i="62917"/>
  <c r="Y251" i="62917"/>
  <c r="AA251" i="62917" s="1"/>
  <c r="O527" i="62917"/>
  <c r="E797" i="62917"/>
  <c r="S251" i="62917"/>
  <c r="I300" i="62917" s="1"/>
  <c r="J300" i="62917" s="1"/>
  <c r="M295" i="62917"/>
  <c r="N295" i="62917" s="1"/>
  <c r="H573" i="62917"/>
  <c r="I796" i="62917" s="1"/>
  <c r="J796" i="62917" s="1"/>
  <c r="O492" i="62917"/>
  <c r="I294" i="62917"/>
  <c r="J294" i="62917" s="1"/>
  <c r="K294" i="62917"/>
  <c r="O294" i="62917"/>
  <c r="E294" i="62917"/>
  <c r="M294" i="62917"/>
  <c r="N294" i="62917" s="1"/>
  <c r="O571" i="62917"/>
  <c r="M429" i="62917"/>
  <c r="P358" i="62917"/>
  <c r="Y272" i="62917"/>
  <c r="M301" i="62917" s="1"/>
  <c r="N301" i="62917" s="1"/>
  <c r="P301" i="62917" s="1"/>
  <c r="E293" i="62917"/>
  <c r="E295" i="62917"/>
  <c r="M748" i="62917"/>
  <c r="I797" i="62917"/>
  <c r="J797" i="62917" s="1"/>
  <c r="F795" i="62917"/>
  <c r="P430" i="62917"/>
  <c r="E792" i="62917"/>
  <c r="I798" i="62917"/>
  <c r="J798" i="62917" s="1"/>
  <c r="F169" i="62917"/>
  <c r="G165" i="62917" s="1"/>
  <c r="L573" i="62917"/>
  <c r="M796" i="62917" s="1"/>
  <c r="N796" i="62917" s="1"/>
  <c r="M570" i="62917"/>
  <c r="F62" i="62917"/>
  <c r="P166" i="62917" l="1"/>
  <c r="K295" i="62917"/>
  <c r="M651" i="62917"/>
  <c r="M797" i="62917" s="1"/>
  <c r="N797" i="62917" s="1"/>
  <c r="N649" i="62917"/>
  <c r="N651" i="62917" s="1"/>
  <c r="C36" i="62916"/>
  <c r="H13" i="62916" s="1"/>
  <c r="L13" i="62916" s="1"/>
  <c r="E573" i="62917"/>
  <c r="F570" i="62917" s="1"/>
  <c r="O295" i="62917"/>
  <c r="M749" i="62917"/>
  <c r="O749" i="62917" s="1"/>
  <c r="N749" i="62917"/>
  <c r="K797" i="62917"/>
  <c r="N429" i="62917"/>
  <c r="P429" i="62917" s="1"/>
  <c r="O429" i="62917"/>
  <c r="E751" i="62917"/>
  <c r="F748" i="62917" s="1"/>
  <c r="J573" i="62917"/>
  <c r="N432" i="62917"/>
  <c r="P432" i="62917" s="1"/>
  <c r="P435" i="62917" s="1"/>
  <c r="O432" i="62917"/>
  <c r="K301" i="62917"/>
  <c r="K62" i="62917"/>
  <c r="K293" i="62917"/>
  <c r="O301" i="62917"/>
  <c r="N60" i="62917"/>
  <c r="P60" i="62917" s="1"/>
  <c r="O60" i="62917"/>
  <c r="H11" i="62916"/>
  <c r="L11" i="62916" s="1"/>
  <c r="L8" i="62916"/>
  <c r="H12" i="62916"/>
  <c r="L12" i="62916" s="1"/>
  <c r="N573" i="62917"/>
  <c r="E796" i="62917"/>
  <c r="F796" i="62917" s="1"/>
  <c r="P796" i="62917" s="1"/>
  <c r="I795" i="62917"/>
  <c r="M169" i="62917"/>
  <c r="K300" i="62917"/>
  <c r="E300" i="62917"/>
  <c r="D303" i="62917"/>
  <c r="N61" i="62917"/>
  <c r="P61" i="62917" s="1"/>
  <c r="O61" i="62917"/>
  <c r="L751" i="62917"/>
  <c r="M798" i="62917" s="1"/>
  <c r="N798" i="62917" s="1"/>
  <c r="J751" i="62917"/>
  <c r="H21" i="62905"/>
  <c r="S19" i="62905"/>
  <c r="G649" i="62917"/>
  <c r="G651" i="62917" s="1"/>
  <c r="I793" i="62917"/>
  <c r="J793" i="62917" s="1"/>
  <c r="M302" i="62917"/>
  <c r="F793" i="62917"/>
  <c r="M62" i="62917"/>
  <c r="F430" i="62917"/>
  <c r="F431" i="62917"/>
  <c r="F434" i="62917"/>
  <c r="F429" i="62917"/>
  <c r="F433" i="62917"/>
  <c r="P169" i="62917"/>
  <c r="M300" i="62917"/>
  <c r="N300" i="62917" s="1"/>
  <c r="O797" i="62917"/>
  <c r="F797" i="62917"/>
  <c r="K299" i="62917"/>
  <c r="P295" i="62917"/>
  <c r="C17" i="62916"/>
  <c r="E299" i="62917"/>
  <c r="AA272" i="62917"/>
  <c r="I303" i="62917"/>
  <c r="P294" i="62917"/>
  <c r="M435" i="62917"/>
  <c r="J303" i="62917"/>
  <c r="F798" i="62917"/>
  <c r="K798" i="62917"/>
  <c r="M573" i="62917"/>
  <c r="O570" i="62917"/>
  <c r="O573" i="62917" s="1"/>
  <c r="K792" i="62917"/>
  <c r="F792" i="62917"/>
  <c r="O748" i="62917"/>
  <c r="G59" i="62917"/>
  <c r="G61" i="62917"/>
  <c r="G60" i="62917"/>
  <c r="G168" i="62917"/>
  <c r="G166" i="62917"/>
  <c r="G167" i="62917"/>
  <c r="N293" i="62917"/>
  <c r="P293" i="62917" s="1"/>
  <c r="N302" i="62917" l="1"/>
  <c r="P302" i="62917" s="1"/>
  <c r="O302" i="62917"/>
  <c r="F572" i="62917"/>
  <c r="F571" i="62917"/>
  <c r="P649" i="62917"/>
  <c r="P651" i="62917" s="1"/>
  <c r="P797" i="62917"/>
  <c r="O651" i="62917"/>
  <c r="M751" i="62917"/>
  <c r="N435" i="62917"/>
  <c r="O751" i="62917"/>
  <c r="O798" i="62917"/>
  <c r="F750" i="62917"/>
  <c r="M793" i="62917"/>
  <c r="O169" i="62917"/>
  <c r="F749" i="62917"/>
  <c r="N751" i="62917"/>
  <c r="O796" i="62917"/>
  <c r="O300" i="62917"/>
  <c r="K303" i="62917"/>
  <c r="P62" i="62917"/>
  <c r="H10" i="62916"/>
  <c r="L10" i="62916" s="1"/>
  <c r="P300" i="62917"/>
  <c r="K796" i="62917"/>
  <c r="M795" i="62917"/>
  <c r="O435" i="62917"/>
  <c r="J795" i="62917"/>
  <c r="K795" i="62917"/>
  <c r="E303" i="62917"/>
  <c r="F293" i="62917" s="1"/>
  <c r="E794" i="62917"/>
  <c r="F794" i="62917" s="1"/>
  <c r="F799" i="62917" s="1"/>
  <c r="N62" i="62917"/>
  <c r="M792" i="62917"/>
  <c r="O62" i="62917"/>
  <c r="K793" i="62917"/>
  <c r="P798" i="62917"/>
  <c r="J19" i="62905"/>
  <c r="S20" i="62905"/>
  <c r="F435" i="62917"/>
  <c r="I794" i="62917"/>
  <c r="J794" i="62917" s="1"/>
  <c r="G62" i="62917"/>
  <c r="AA222" i="62917"/>
  <c r="M299" i="62917"/>
  <c r="O299" i="62917" s="1"/>
  <c r="K15" i="62916"/>
  <c r="G169" i="62917"/>
  <c r="F573" i="62917" l="1"/>
  <c r="F751" i="62917"/>
  <c r="N793" i="62917"/>
  <c r="P793" i="62917" s="1"/>
  <c r="O793" i="62917"/>
  <c r="E799" i="62917"/>
  <c r="F295" i="62917"/>
  <c r="H15" i="62916"/>
  <c r="I14" i="62916" s="1"/>
  <c r="F301" i="62917"/>
  <c r="J799" i="62917"/>
  <c r="N795" i="62917"/>
  <c r="P795" i="62917" s="1"/>
  <c r="O795" i="62917"/>
  <c r="F300" i="62917"/>
  <c r="F299" i="62917"/>
  <c r="F302" i="62917"/>
  <c r="F294" i="62917"/>
  <c r="K794" i="62917"/>
  <c r="N792" i="62917"/>
  <c r="P792" i="62917" s="1"/>
  <c r="O792" i="62917"/>
  <c r="R21" i="62905"/>
  <c r="I21" i="62905" s="1"/>
  <c r="J20" i="62905"/>
  <c r="I799" i="62917"/>
  <c r="K799" i="62917" s="1"/>
  <c r="N299" i="62917"/>
  <c r="M303" i="62917"/>
  <c r="G796" i="62917"/>
  <c r="G795" i="62917"/>
  <c r="G797" i="62917"/>
  <c r="G798" i="62917"/>
  <c r="G792" i="62917"/>
  <c r="G794" i="62917"/>
  <c r="G793" i="62917"/>
  <c r="I11" i="62916" l="1"/>
  <c r="I9" i="62916"/>
  <c r="I8" i="62916"/>
  <c r="L15" i="62916"/>
  <c r="I12" i="62916"/>
  <c r="I13" i="62916"/>
  <c r="M794" i="62917"/>
  <c r="O794" i="62917" s="1"/>
  <c r="O303" i="62917"/>
  <c r="I10" i="62916"/>
  <c r="F303" i="62917"/>
  <c r="N303" i="62917"/>
  <c r="P299" i="62917"/>
  <c r="P303" i="62917" s="1"/>
  <c r="G799" i="62917"/>
  <c r="I15" i="62916" l="1"/>
  <c r="M799" i="62917"/>
  <c r="O799" i="62917" s="1"/>
  <c r="N794" i="62917"/>
  <c r="N799" i="62917" s="1"/>
  <c r="P794" i="62917" l="1"/>
  <c r="P799" i="62917" s="1"/>
</calcChain>
</file>

<file path=xl/comments1.xml><?xml version="1.0" encoding="utf-8"?>
<comments xmlns="http://schemas.openxmlformats.org/spreadsheetml/2006/main">
  <authors>
    <author>Mathieu Farges</author>
    <author>Avenir Climatique</author>
  </authors>
  <commentList>
    <comment ref="E216" authorId="0" shapeId="0">
      <text>
        <r>
          <rPr>
            <b/>
            <sz val="9"/>
            <color indexed="81"/>
            <rFont val="Tahoma"/>
            <family val="2"/>
          </rPr>
          <t>Avenir Climatique:</t>
        </r>
        <r>
          <rPr>
            <sz val="9"/>
            <color indexed="81"/>
            <rFont val="Tahoma"/>
            <family val="2"/>
          </rPr>
          <t xml:space="preserve">
à trouver dans Base Carbone :)</t>
        </r>
      </text>
    </comment>
    <comment ref="F226" authorId="1" shapeId="0">
      <text>
        <r>
          <rPr>
            <b/>
            <sz val="9"/>
            <color indexed="81"/>
            <rFont val="Tahoma"/>
            <family val="2"/>
          </rPr>
          <t>Avenir Climatique:</t>
        </r>
        <r>
          <rPr>
            <sz val="9"/>
            <color indexed="81"/>
            <rFont val="Tahoma"/>
            <family val="2"/>
          </rPr>
          <t xml:space="preserve">
SHON = Surface Hors Œuvre Net</t>
        </r>
      </text>
    </comment>
  </commentList>
</comments>
</file>

<file path=xl/comments2.xml><?xml version="1.0" encoding="utf-8"?>
<comments xmlns="http://schemas.openxmlformats.org/spreadsheetml/2006/main">
  <authors>
    <author>JJM</author>
    <author>Ademe/Thomas Gourdon</author>
    <author>guill</author>
    <author>padillas</author>
    <author>Francis</author>
  </authors>
  <commentList>
    <comment ref="E20" authorId="0" shapeId="0">
      <text>
        <r>
          <rPr>
            <sz val="8"/>
            <color indexed="81"/>
            <rFont val="Tahoma"/>
            <family val="2"/>
          </rPr>
          <t>A déterminer selon chaque réseau de chaleur.</t>
        </r>
      </text>
    </comment>
    <comment ref="I20" authorId="1" shapeId="0">
      <text>
        <r>
          <rPr>
            <sz val="8"/>
            <color indexed="81"/>
            <rFont val="Tahoma"/>
            <family val="2"/>
          </rPr>
          <t>A déterminer selon chaque réseau de chaleur.</t>
        </r>
      </text>
    </comment>
    <comment ref="F128" authorId="2" shapeId="0">
      <text>
        <r>
          <rPr>
            <sz val="9"/>
            <color indexed="81"/>
            <rFont val="Tahoma"/>
            <family val="2"/>
          </rPr>
          <t xml:space="preserve">A compléter au cas par cas
</t>
        </r>
      </text>
    </comment>
    <comment ref="F129" authorId="2" shapeId="0">
      <text>
        <r>
          <rPr>
            <sz val="9"/>
            <color indexed="81"/>
            <rFont val="Tahoma"/>
            <family val="2"/>
          </rPr>
          <t xml:space="preserve">A compléter au cas par cas
</t>
        </r>
      </text>
    </comment>
    <comment ref="F130" authorId="2" shapeId="0">
      <text>
        <r>
          <rPr>
            <sz val="9"/>
            <color indexed="81"/>
            <rFont val="Tahoma"/>
            <family val="2"/>
          </rPr>
          <t xml:space="preserve">A compléter au cas par cas
</t>
        </r>
      </text>
    </comment>
    <comment ref="F131" authorId="2" shapeId="0">
      <text>
        <r>
          <rPr>
            <sz val="9"/>
            <color indexed="81"/>
            <rFont val="Tahoma"/>
            <family val="2"/>
          </rPr>
          <t xml:space="preserve">A compléter au cas par cas
</t>
        </r>
      </text>
    </comment>
    <comment ref="F132" authorId="2" shapeId="0">
      <text>
        <r>
          <rPr>
            <sz val="9"/>
            <color indexed="81"/>
            <rFont val="Tahoma"/>
            <family val="2"/>
          </rPr>
          <t xml:space="preserve">A compléter au cas par cas
</t>
        </r>
      </text>
    </comment>
    <comment ref="F133" authorId="2" shapeId="0">
      <text>
        <r>
          <rPr>
            <sz val="9"/>
            <color indexed="81"/>
            <rFont val="Tahoma"/>
            <family val="2"/>
          </rPr>
          <t xml:space="preserve">A compléter au cas par cas
</t>
        </r>
      </text>
    </comment>
    <comment ref="C150" authorId="3" shapeId="0">
      <text>
        <r>
          <rPr>
            <sz val="8"/>
            <color indexed="81"/>
            <rFont val="Tahoma"/>
            <family val="2"/>
          </rPr>
          <t>evp est le terme standard utilisé par la marine marchande pour qualifier la capacité d'un porte conteneur. Ce terme signifie "équivalent vingt pieds", c'est à dire le volume d'un conteneur standard, dont la longueur est de 20 pieds. Le volume d'un tel conteneur est de 36,6 m3 (soit 6m x 2,44m x 2,5 m).
5 000 evp signifie donc que le bateau peut transporter 5 000 conteneurs standard de 36,6 m3 ou encore un volume total de 183 000 m3 de fret.</t>
        </r>
      </text>
    </comment>
    <comment ref="I222" authorId="4" shapeId="0">
      <text>
        <r>
          <rPr>
            <sz val="8"/>
            <color indexed="81"/>
            <rFont val="Tahoma"/>
            <family val="2"/>
          </rPr>
          <t>Emissions sur le parcours domicile-travail.</t>
        </r>
      </text>
    </comment>
    <comment ref="J222" authorId="4" shapeId="0">
      <text>
        <r>
          <rPr>
            <sz val="8"/>
            <color indexed="81"/>
            <rFont val="Tahoma"/>
            <family val="2"/>
          </rPr>
          <t>Emissions hors du parcours domicile-travail.</t>
        </r>
      </text>
    </comment>
    <comment ref="K222" authorId="4" shapeId="0">
      <text>
        <r>
          <rPr>
            <sz val="8"/>
            <color indexed="81"/>
            <rFont val="Tahoma"/>
            <family val="2"/>
          </rPr>
          <t>Emissions de déplacement de visiteurs.</t>
        </r>
      </text>
    </comment>
    <comment ref="L222" authorId="4" shapeId="0">
      <text>
        <r>
          <rPr>
            <sz val="8"/>
            <color indexed="81"/>
            <rFont val="Tahoma"/>
            <family val="2"/>
          </rPr>
          <t>Total des émissions.</t>
        </r>
      </text>
    </comment>
    <comment ref="P222" authorId="4" shapeId="0">
      <text>
        <r>
          <rPr>
            <b/>
            <sz val="8"/>
            <color indexed="81"/>
            <rFont val="Tahoma"/>
            <family val="2"/>
          </rPr>
          <t>Incertitude sur les émissions de déplacement domicile-travail</t>
        </r>
      </text>
    </comment>
    <comment ref="Q222" authorId="4" shapeId="0">
      <text>
        <r>
          <rPr>
            <b/>
            <sz val="8"/>
            <color indexed="81"/>
            <rFont val="Tahoma"/>
            <family val="2"/>
          </rPr>
          <t>Incertitude sur les émissions de déplacement hors domicile-travail</t>
        </r>
      </text>
    </comment>
    <comment ref="R222" authorId="4" shapeId="0">
      <text>
        <r>
          <rPr>
            <b/>
            <sz val="8"/>
            <color indexed="81"/>
            <rFont val="Tahoma"/>
            <family val="2"/>
          </rPr>
          <t>Incertitude sur les émissions de déplacement des visiteurs</t>
        </r>
      </text>
    </comment>
    <comment ref="S222" authorId="4" shapeId="0">
      <text>
        <r>
          <rPr>
            <b/>
            <sz val="8"/>
            <color indexed="81"/>
            <rFont val="Tahoma"/>
            <family val="2"/>
          </rPr>
          <t>Incertitude sur le total des émissions</t>
        </r>
      </text>
    </comment>
    <comment ref="V222" authorId="4" shapeId="0">
      <text>
        <r>
          <rPr>
            <sz val="8"/>
            <color indexed="81"/>
            <rFont val="Tahoma"/>
            <family val="2"/>
          </rPr>
          <t>Objectif de réduction à long terme sur les émissions de déplacement domicile-travail.</t>
        </r>
      </text>
    </comment>
    <comment ref="W222" authorId="4" shapeId="0">
      <text>
        <r>
          <rPr>
            <sz val="8"/>
            <color indexed="81"/>
            <rFont val="Tahoma"/>
            <family val="2"/>
          </rPr>
          <t>Objectif de réduction à long terme sur les émissions de déplacement hors domicile-travail.</t>
        </r>
      </text>
    </comment>
    <comment ref="X222" authorId="4" shapeId="0">
      <text>
        <r>
          <rPr>
            <sz val="8"/>
            <color indexed="81"/>
            <rFont val="Tahoma"/>
            <family val="2"/>
          </rPr>
          <t>Objectif de réduction à long terme sur les émissions de déplacement des visiteurs.</t>
        </r>
      </text>
    </comment>
    <comment ref="Y222" authorId="4" shapeId="0">
      <text>
        <r>
          <rPr>
            <sz val="8"/>
            <color indexed="81"/>
            <rFont val="Tahoma"/>
            <family val="2"/>
          </rPr>
          <t>Objectif de réduction à long terme sur le total des émissions.</t>
        </r>
      </text>
    </comment>
    <comment ref="G279" authorId="2" shapeId="0">
      <text>
        <r>
          <rPr>
            <sz val="9"/>
            <color indexed="81"/>
            <rFont val="Tahoma"/>
            <family val="2"/>
          </rPr>
          <t xml:space="preserve">A compléter au cas par cas
</t>
        </r>
      </text>
    </comment>
    <comment ref="G280" authorId="2" shapeId="0">
      <text>
        <r>
          <rPr>
            <sz val="9"/>
            <color indexed="81"/>
            <rFont val="Tahoma"/>
            <family val="2"/>
          </rPr>
          <t xml:space="preserve">A compléter au cas par cas
</t>
        </r>
      </text>
    </comment>
    <comment ref="G281" authorId="2" shapeId="0">
      <text>
        <r>
          <rPr>
            <sz val="9"/>
            <color indexed="81"/>
            <rFont val="Tahoma"/>
            <family val="2"/>
          </rPr>
          <t xml:space="preserve">A compléter au cas par cas
</t>
        </r>
      </text>
    </comment>
    <comment ref="G282" authorId="2" shapeId="0">
      <text>
        <r>
          <rPr>
            <sz val="9"/>
            <color indexed="81"/>
            <rFont val="Tahoma"/>
            <family val="2"/>
          </rPr>
          <t xml:space="preserve">A compléter au cas par cas
</t>
        </r>
      </text>
    </comment>
    <comment ref="G283" authorId="2" shapeId="0">
      <text>
        <r>
          <rPr>
            <sz val="9"/>
            <color indexed="81"/>
            <rFont val="Tahoma"/>
            <family val="2"/>
          </rPr>
          <t xml:space="preserve">A compléter au cas par cas
</t>
        </r>
      </text>
    </comment>
    <comment ref="G284" authorId="2" shapeId="0">
      <text>
        <r>
          <rPr>
            <sz val="9"/>
            <color indexed="81"/>
            <rFont val="Tahoma"/>
            <family val="2"/>
          </rPr>
          <t xml:space="preserve">A compléter au cas par cas
</t>
        </r>
      </text>
    </comment>
  </commentList>
</comments>
</file>

<file path=xl/sharedStrings.xml><?xml version="1.0" encoding="utf-8"?>
<sst xmlns="http://schemas.openxmlformats.org/spreadsheetml/2006/main" count="2113" uniqueCount="454">
  <si>
    <t>Train en Suisse</t>
  </si>
  <si>
    <t>Joule</t>
  </si>
  <si>
    <t>KWh PCI</t>
  </si>
  <si>
    <t>BTU</t>
  </si>
  <si>
    <t>m3 de gaz nat.</t>
  </si>
  <si>
    <t>Nombre</t>
  </si>
  <si>
    <t>Train en Italie</t>
  </si>
  <si>
    <t>GPL</t>
  </si>
  <si>
    <t>Sources fixes</t>
  </si>
  <si>
    <t>Train en France, moyenne</t>
  </si>
  <si>
    <t>Immobilisations</t>
  </si>
  <si>
    <t>t bois 20% humidité</t>
  </si>
  <si>
    <t>TOTAL</t>
  </si>
  <si>
    <t>Résiduel</t>
  </si>
  <si>
    <t>Fioul domestique</t>
  </si>
  <si>
    <t>Farine</t>
  </si>
  <si>
    <t>Déchets directs</t>
  </si>
  <si>
    <t>Train en Espagne</t>
  </si>
  <si>
    <t>Informatique</t>
  </si>
  <si>
    <t>POSTE</t>
  </si>
  <si>
    <t>Emissions</t>
  </si>
  <si>
    <t>Déplacements domicile-travail</t>
  </si>
  <si>
    <t>Train au Luxembourg</t>
  </si>
  <si>
    <t>R134a</t>
  </si>
  <si>
    <t>Fuites de fluides frigorigènes</t>
  </si>
  <si>
    <t>Gaz naturel</t>
  </si>
  <si>
    <t>Total</t>
  </si>
  <si>
    <t>Type de parcours</t>
  </si>
  <si>
    <t>Visiteurs</t>
  </si>
  <si>
    <t>TGV</t>
  </si>
  <si>
    <t>TER</t>
  </si>
  <si>
    <t>Electricité de réseau en France</t>
  </si>
  <si>
    <t>Fret routier</t>
  </si>
  <si>
    <t>Fret aérien</t>
  </si>
  <si>
    <t>Fret ferroviaire</t>
  </si>
  <si>
    <t>Domicile-travail</t>
  </si>
  <si>
    <t>Hors dom-travail</t>
  </si>
  <si>
    <t>Kilomètres parcourus :</t>
  </si>
  <si>
    <t>Dom-Travail</t>
  </si>
  <si>
    <t>Hors dom-tr</t>
  </si>
  <si>
    <t>Km parcourus (cumulés sur le nb de passagers) :</t>
  </si>
  <si>
    <t>Déplacements professionnels hors domicile-travail</t>
  </si>
  <si>
    <t>Déplacements des visiteurs</t>
  </si>
  <si>
    <t>Voiture</t>
  </si>
  <si>
    <t>Autres modes routiers</t>
  </si>
  <si>
    <t>Train</t>
  </si>
  <si>
    <t>Avion</t>
  </si>
  <si>
    <t>Train au Royaume Uni</t>
  </si>
  <si>
    <t>Train en Allemagne</t>
  </si>
  <si>
    <t>Train en Belgique</t>
  </si>
  <si>
    <t>Bâtiments</t>
  </si>
  <si>
    <t>Papier (non imprimé)</t>
  </si>
  <si>
    <t>en %</t>
  </si>
  <si>
    <t>%</t>
  </si>
  <si>
    <t>Electricité</t>
  </si>
  <si>
    <t>Soude 50%</t>
  </si>
  <si>
    <t>Source</t>
  </si>
  <si>
    <t>DEPLACEMENTS DE PERSONNES</t>
  </si>
  <si>
    <t>SOURCES FIXES</t>
  </si>
  <si>
    <t>FRET</t>
  </si>
  <si>
    <t>kWh PCS</t>
  </si>
  <si>
    <t>kWh PCI</t>
  </si>
  <si>
    <t>Essence</t>
  </si>
  <si>
    <t>Diesel, fioul domestique</t>
  </si>
  <si>
    <t>Charbon</t>
  </si>
  <si>
    <t>Incertitude</t>
  </si>
  <si>
    <t>Fret</t>
  </si>
  <si>
    <t>Combustible</t>
  </si>
  <si>
    <t>Fioul lourd</t>
  </si>
  <si>
    <t>Thon et autres poissons tropicaux</t>
  </si>
  <si>
    <t>en % du total</t>
  </si>
  <si>
    <t>% du total</t>
  </si>
  <si>
    <t>tonne bois 20% hum</t>
  </si>
  <si>
    <t>kwh PCI</t>
  </si>
  <si>
    <t>DECHETS DIRECTS</t>
  </si>
  <si>
    <t>IMMOBILISATIONS</t>
  </si>
  <si>
    <t>Acide sulfurique</t>
  </si>
  <si>
    <t>conversion des unités</t>
  </si>
  <si>
    <t>tep</t>
  </si>
  <si>
    <t>tec</t>
  </si>
  <si>
    <t>Carton (non imprimé)</t>
  </si>
  <si>
    <t>Produits chimiques &amp; textiles de synthèse</t>
  </si>
  <si>
    <t>Métaux</t>
  </si>
  <si>
    <t>Plastiques</t>
  </si>
  <si>
    <t>Verres</t>
  </si>
  <si>
    <t>Fret maritime</t>
  </si>
  <si>
    <t>Restaurant Universitaire</t>
  </si>
  <si>
    <t>Viandes et poissons</t>
  </si>
  <si>
    <t>RESTAURANT UNIVERSITAIRE</t>
  </si>
  <si>
    <t>Consommables et matériaux</t>
  </si>
  <si>
    <t>Répartition par type de trajet, Eq. C</t>
  </si>
  <si>
    <t>Répartition par type de véhicule</t>
  </si>
  <si>
    <t>POSTES</t>
  </si>
  <si>
    <t>Rapport PCS / PCI</t>
  </si>
  <si>
    <t>t bois 20% hum.</t>
  </si>
  <si>
    <t>ELECTRICITE</t>
  </si>
  <si>
    <t>Type de courrier</t>
  </si>
  <si>
    <t>Type de véhicule</t>
  </si>
  <si>
    <t>Unité</t>
  </si>
  <si>
    <t>Valeur</t>
  </si>
  <si>
    <t>Tep</t>
  </si>
  <si>
    <t>Tec</t>
  </si>
  <si>
    <t>Type de 2 roues</t>
  </si>
  <si>
    <t>Type et localisation du train</t>
  </si>
  <si>
    <t>Nature du métal</t>
  </si>
  <si>
    <t>Nature du plastique</t>
  </si>
  <si>
    <t>Nature du verre</t>
  </si>
  <si>
    <t>Nature du papier ou du carton</t>
  </si>
  <si>
    <t>Nature du produit chimique</t>
  </si>
  <si>
    <t>Nature du produit agricole</t>
  </si>
  <si>
    <t>Nature du déchet</t>
  </si>
  <si>
    <t>Type de construction</t>
  </si>
  <si>
    <t>Garages (métal)</t>
  </si>
  <si>
    <t>Type d'équipement</t>
  </si>
  <si>
    <t>TOTALISATEUR</t>
  </si>
  <si>
    <t>Action de réduction</t>
  </si>
  <si>
    <t>Nature du gaz utilisé</t>
  </si>
  <si>
    <t>Objectif de réduction</t>
  </si>
  <si>
    <t>Type de fret ferroviaire</t>
  </si>
  <si>
    <t>IMMOBILISATIONS, équivalent carbone</t>
  </si>
  <si>
    <t>Déplacement de personnes</t>
  </si>
  <si>
    <t>Autres (produits manufacturés ou services)</t>
  </si>
  <si>
    <t>Nature du produit ou service</t>
  </si>
  <si>
    <t xml:space="preserve">Nature du produit </t>
  </si>
  <si>
    <t>CONSOMMABLES ET MATERIAUX</t>
  </si>
  <si>
    <t>Autres équipements</t>
  </si>
  <si>
    <t>Combustibles fossiles</t>
  </si>
  <si>
    <t>m3 de Gaz Naturel</t>
  </si>
  <si>
    <t>Gaz Naturel</t>
  </si>
  <si>
    <t>Tonne bois 20% humidité</t>
  </si>
  <si>
    <t>Convertisseur : passage de PCS en PCI</t>
  </si>
  <si>
    <t>Convertisseur : passage de diverses unités physiques vers d'autres unités</t>
  </si>
  <si>
    <t>Huile de tournesol</t>
  </si>
  <si>
    <t>Quelles sont les émissions liées aux fuites de gaz frigorigènes (climatisation, chambres froides, etc.) ?</t>
  </si>
  <si>
    <t>Quelle est la consommation totale en électricité du campus ?</t>
  </si>
  <si>
    <t>SOURCES FIXES, Equivalent Carbone</t>
  </si>
  <si>
    <t>CONSOMMABLES ET MATERIAUX, Equivalent Carbone</t>
  </si>
  <si>
    <t>DECHETS DIRECTS Equivalent Carbone</t>
  </si>
  <si>
    <t>COMBUSTIBLES FOSSILES</t>
  </si>
  <si>
    <t>RESULTATS DES SOURCES FIXES</t>
  </si>
  <si>
    <t>RECAPITULATIF EQUIVALENT CARBONE</t>
  </si>
  <si>
    <t>RESULTATS FRET</t>
  </si>
  <si>
    <t>Quelle est la somme des km parcourus par type de trajet en voiture pour toutes les personnes accédant au campus ?</t>
  </si>
  <si>
    <t>Quelle est la somme des km parcourus par type de bus pour toutes les parcours relatifs au campus (voyages études, ramassages étudiant, etc) ?</t>
  </si>
  <si>
    <t>Quelle est la somme des km parcourus pour tout type de trajet en train pour toutes les parcours relatifs au campus (voyages études, ramassages étudiant, etc) ?</t>
  </si>
  <si>
    <t>Quelle est la somme des km parcourus pour tout type de courrier en avion pour toutes les parcours relatifs au campus (voyages études, ramassages étudiant, etc) ?</t>
  </si>
  <si>
    <t>RESULTATS DEPLACEMENTS DE PERSONNES</t>
  </si>
  <si>
    <t>RECAPITULATIF EQUIVALENT CARBONE par type de véhicule</t>
  </si>
  <si>
    <t>RECAPITULATIF EQUIVALENT CARBONE par type de trajet</t>
  </si>
  <si>
    <t>Quelles sont les quantités de métaux consommées chaque année pour les activités du campus (par métal) ?</t>
  </si>
  <si>
    <t>Quelles sont les quantités de verres consommées chaque année pour les activités du campus (par nature du verre) ?</t>
  </si>
  <si>
    <t>Quelles sont les quantités totales de plastique consommées chaque année pour les activités du campus ?</t>
  </si>
  <si>
    <t>Quelles sont les quantités de papiers et de cartons consommées chaque année pour les activités du campus ?</t>
  </si>
  <si>
    <t>Quelles sont les quantités de produits chimiques consommées chaque année pour les activités du campus ?</t>
  </si>
  <si>
    <t>Quelles sont les quantités d'autres produits et services consommées chaque année pour les activités du campus (catégories à déterminer) ?</t>
  </si>
  <si>
    <t>RESULTATS CONSOMMABLES ET MATERIAUX</t>
  </si>
  <si>
    <t>Papiers et cartons</t>
  </si>
  <si>
    <t>Quelles sont les quantités de poissons et de viandes consommées par an sur le campus ?</t>
  </si>
  <si>
    <t>Quelles sont les quantités d'autres produits alimentaires consommées par an sur le campus ?</t>
  </si>
  <si>
    <t>RESULTATS RESTAURANT UNIVERSITAIRE</t>
  </si>
  <si>
    <t>Autres produits alimentaires</t>
  </si>
  <si>
    <t>Quelles sont les quantités de déchets produits par an par les activités du campus ?</t>
  </si>
  <si>
    <t>RESULTATS DECHETS DIRECTS</t>
  </si>
  <si>
    <t>Quelles sont les superficies des bâtiments du campus dont il s'agit d'évaluer les émissions quant à leur immobilisaiton ?</t>
  </si>
  <si>
    <t>Quelles sont les quantités d'équipements informatiques et bureautiques utilisés pour les activités du campus ?</t>
  </si>
  <si>
    <t>Quelles sont les quantités d'autres équipements utilisés pour les activités du campus (à déterminer) ?</t>
  </si>
  <si>
    <t>RESULTATS IMMOBILISATIONS</t>
  </si>
  <si>
    <t>Action de réduction planifiée :</t>
  </si>
  <si>
    <t>RESULTATS CAMPUS, TOTAL EQUIVALENT CARBONE</t>
  </si>
  <si>
    <t>Kilomètres parcourus (cumulés sur le nb de passagers) :</t>
  </si>
  <si>
    <t>Quelle est la somme des km parcourus par type de 2 roues pour toutes les parcours relatifs au campus (voyages études, ramassages étudiant, etc) ?</t>
  </si>
  <si>
    <t>Acier ou fer blanc neuf (produits plats)</t>
  </si>
  <si>
    <t>Acier ou fer blanc recyclé 100%</t>
  </si>
  <si>
    <t>Aluminium neuf</t>
  </si>
  <si>
    <t>Aluminium recyclé 100%</t>
  </si>
  <si>
    <t>Zinc</t>
  </si>
  <si>
    <t>Nickel</t>
  </si>
  <si>
    <t>Plomb</t>
  </si>
  <si>
    <t>Carton</t>
  </si>
  <si>
    <t>Imprimantes</t>
  </si>
  <si>
    <t>Photocopieurs</t>
  </si>
  <si>
    <t>Télécopieurs</t>
  </si>
  <si>
    <t>Quelles sont les consommations de combustibles fossiles du campus quel qu'en soit l'usage ?</t>
  </si>
  <si>
    <t>Déplacements de personnes</t>
  </si>
  <si>
    <t>Restaurant universitaire</t>
  </si>
  <si>
    <t>Déchêts directs</t>
  </si>
  <si>
    <t>Quantité</t>
  </si>
  <si>
    <t>Sinon, valeurs moyennes des repas ?</t>
  </si>
  <si>
    <t>Repas moyen</t>
  </si>
  <si>
    <t>Repas végétarien</t>
  </si>
  <si>
    <t>Déchets direct</t>
  </si>
  <si>
    <t>Immobilisation</t>
  </si>
  <si>
    <t>Catégorie</t>
  </si>
  <si>
    <t>Source d'émission</t>
  </si>
  <si>
    <t>Facteur d'émission (eq CO2)</t>
  </si>
  <si>
    <t>Dernière mise à jour</t>
  </si>
  <si>
    <t xml:space="preserve">FRET </t>
  </si>
  <si>
    <t>DEPLACEMENT DE PERSONNES</t>
  </si>
  <si>
    <t>Sous catégorie</t>
  </si>
  <si>
    <t>Incertitude (%)</t>
  </si>
  <si>
    <t>kgCO2e/kWh PCI</t>
  </si>
  <si>
    <t>kgCO2e/kWh PC</t>
  </si>
  <si>
    <t>kgCO2e/kWh</t>
  </si>
  <si>
    <t>Voiture particulière essence</t>
  </si>
  <si>
    <t>Voiture particulière gazole</t>
  </si>
  <si>
    <t>kgCO2e/km</t>
  </si>
  <si>
    <t>kgCO2e/passager.km</t>
  </si>
  <si>
    <t>kgCO2e/tonne</t>
  </si>
  <si>
    <t>Cuivre (neuf et recyclé)</t>
  </si>
  <si>
    <t>Plastique - moyenne (neuf)</t>
  </si>
  <si>
    <t>Verre d'emballage (ex : bouteille)</t>
  </si>
  <si>
    <t>Herbicides, par kg de matière active</t>
  </si>
  <si>
    <t>Acide chlorhydrique</t>
  </si>
  <si>
    <t>Poisson (pêche, moyenne européenne)</t>
  </si>
  <si>
    <t>Beurre - doux</t>
  </si>
  <si>
    <t>Côtelettes d'Agneau - poids ingéré après achat en magasin</t>
  </si>
  <si>
    <t>Viande de porc - poids ingéré après achat en magasin</t>
  </si>
  <si>
    <t>Viande de veau - moyen France - poids ingéré après achat en magasin</t>
  </si>
  <si>
    <t>Poulet entier - entier - poids ingéré après achat en magasin</t>
  </si>
  <si>
    <t>Fromage - à pâte dure (type emmental) - poids ingéré après achat en magasin</t>
  </si>
  <si>
    <t>Fromage - frais de chèvre - poids ingéré après achat en magasin</t>
  </si>
  <si>
    <t>Pain - poids ingéré après achat en magasin</t>
  </si>
  <si>
    <t>Maïs - poids ingéré après achat en magasin</t>
  </si>
  <si>
    <t>Huile d'olive</t>
  </si>
  <si>
    <t>Lait - de vache, semi-écrémé, pasteurisé - poids ingéré après achat en magasin</t>
  </si>
  <si>
    <t>Sucre de canne</t>
  </si>
  <si>
    <t>Sucre de betterave</t>
  </si>
  <si>
    <t>Vin</t>
  </si>
  <si>
    <t>kgCO2e/L</t>
  </si>
  <si>
    <t>Bière</t>
  </si>
  <si>
    <t>kgCO2e/repas</t>
  </si>
  <si>
    <t>Plastique moyen - fin de vie moyenne</t>
  </si>
  <si>
    <t>Papier - Moyen - Hors utilisation et fin de vie</t>
  </si>
  <si>
    <t>Déchets alimentaires - fin de vie moyenne</t>
  </si>
  <si>
    <t>Béton armé</t>
  </si>
  <si>
    <t>Garage - structure en béton</t>
  </si>
  <si>
    <t>kgCO2e/m²</t>
  </si>
  <si>
    <t>kgCO2e/m² SHON</t>
  </si>
  <si>
    <t>Bâtiments de bureaux</t>
  </si>
  <si>
    <t>Etablissement d'enseignement - structure en béton</t>
  </si>
  <si>
    <t xml:space="preserve">kgCO2e/m² </t>
  </si>
  <si>
    <t>Parking - classique - béton armé</t>
  </si>
  <si>
    <t>Parking - classique - bitume</t>
  </si>
  <si>
    <t>Parking - classique - Semi rigide</t>
  </si>
  <si>
    <t>Ordinateur fixe - avec écran à tubes cathodiques</t>
  </si>
  <si>
    <t>kgCO2e/appareil</t>
  </si>
  <si>
    <t>Autobus - agglomérations de 150 000 à 250 000 habitants</t>
  </si>
  <si>
    <t>Autobus - agglomérations de moins de 150 000 habitants</t>
  </si>
  <si>
    <t>Autobus - agglomérations de plus de 250 000 habitants</t>
  </si>
  <si>
    <t>Moto - cylindrée inf. à 750 cm³, essence, zone urbaine</t>
  </si>
  <si>
    <t>Moto - cylindrée sup. à 750 cm³, essence, zone urbaine</t>
  </si>
  <si>
    <t>Avion (marchandises) - plus de 250 sièges, trajet de 3000-4000 km - consommation de jet A-1 (kérosène)</t>
  </si>
  <si>
    <t>Avion (marchandises) - plus de 250 sièges, trajet de 4000 - 5000 km</t>
  </si>
  <si>
    <t>kgCO2e/tonne.km</t>
  </si>
  <si>
    <t>Avion (marchandises) - plus de 250 sièges, trajet de 5000-6000 km</t>
  </si>
  <si>
    <t>Train de marchandises (Europe)</t>
  </si>
  <si>
    <t>Train de marchandises - motorisation électrique, marchandises denses</t>
  </si>
  <si>
    <t>Plastique</t>
  </si>
  <si>
    <t>Verre</t>
  </si>
  <si>
    <t>Papier et carton</t>
  </si>
  <si>
    <t>Produits chimiques</t>
  </si>
  <si>
    <t>Autres</t>
  </si>
  <si>
    <t>Repas moyens</t>
  </si>
  <si>
    <t>Déchets</t>
  </si>
  <si>
    <t>Equipements informatiques et bureautiques</t>
  </si>
  <si>
    <t>kgCO2e</t>
  </si>
  <si>
    <t>kgCO2e/tonne de matière active</t>
  </si>
  <si>
    <t>Yaourt - poids ingéré après achat en magasin</t>
  </si>
  <si>
    <t>kgCO2e/tonne de poids vif</t>
  </si>
  <si>
    <t>kgCO2e/tonne d'ingrédient ingéré</t>
  </si>
  <si>
    <t>kgCO2e par tonne.km</t>
  </si>
  <si>
    <t>kgCO2e à long terme</t>
  </si>
  <si>
    <t>Comment utiliser cet outil?</t>
  </si>
  <si>
    <t>Tableur PCC - Projet Carbone Campus</t>
  </si>
  <si>
    <t>A quoi sert cet outil ?</t>
  </si>
  <si>
    <t>Le tableur PCC est à mis à disposition selon les termes de</t>
  </si>
  <si>
    <t>la licence Creative Commons Attribution 4.0 Internationale</t>
  </si>
  <si>
    <t>La version de référence de cet outil est disponible sur le site web d'Avenir Climatique.</t>
  </si>
  <si>
    <t>FUITES DE FLUIDE FRIGORIGENES</t>
  </si>
  <si>
    <t>Fuites : secteur Tertiaire</t>
  </si>
  <si>
    <t>Climatisation DRV (bureaux)</t>
  </si>
  <si>
    <t>Climatisation armoire (baie informatique)</t>
  </si>
  <si>
    <t>Climatisation Rooftop (amphi)</t>
  </si>
  <si>
    <t>Taux de fuite</t>
  </si>
  <si>
    <t>Kg émis par an</t>
  </si>
  <si>
    <t>Equipements</t>
  </si>
  <si>
    <t>Charge moyenne</t>
  </si>
  <si>
    <t>Puissance de l'équipement</t>
  </si>
  <si>
    <t>P &lt; 50 kW</t>
  </si>
  <si>
    <t>50 &lt; P &lt; 350 kW</t>
  </si>
  <si>
    <t>P &gt; 350 kW</t>
  </si>
  <si>
    <t>kg fluide / m2</t>
  </si>
  <si>
    <t>Surface refroidie (m2)</t>
  </si>
  <si>
    <t>Fuites : secteur Tertiaire, par puissance d'équipement</t>
  </si>
  <si>
    <t>GIEC AR 5</t>
  </si>
  <si>
    <t>R22 (gaz interdit à la vente depuis 2015)</t>
  </si>
  <si>
    <t>R404a (gaz interdit à la vente d'ici 2020)</t>
  </si>
  <si>
    <t>R407c</t>
  </si>
  <si>
    <t>GIEC AR 5 WG1 Chapitre 8</t>
  </si>
  <si>
    <t>R452a</t>
  </si>
  <si>
    <t>kgCO2e/kg</t>
  </si>
  <si>
    <t>R513a</t>
  </si>
  <si>
    <t>R410a</t>
  </si>
  <si>
    <t>R32</t>
  </si>
  <si>
    <t>R744 - CO2</t>
  </si>
  <si>
    <t>Consommable et matériaux</t>
  </si>
  <si>
    <t>Steak de bœuf - moyen France - poids ingéré après achat en magasin</t>
  </si>
  <si>
    <t>Fromage - à pâte molle (type camembert) - poids ingéré après achat en magasin</t>
  </si>
  <si>
    <t>Œuf - moyenne nationale - poids ingéré après achat en magasin</t>
  </si>
  <si>
    <t>Ordinateur fixe - avec écran plat</t>
  </si>
  <si>
    <r>
      <rPr>
        <b/>
        <sz val="10"/>
        <color theme="3"/>
        <rFont val="Arial"/>
        <family val="2"/>
      </rPr>
      <t xml:space="preserve">Cet outil est utilisé dans le cadre du Projet Carbone Campus pour réaliser le bilan carbone d'un campus.
</t>
    </r>
    <r>
      <rPr>
        <sz val="10"/>
        <color theme="1"/>
        <rFont val="Arial"/>
        <family val="2"/>
      </rPr>
      <t xml:space="preserve">
Si quelqu'un vous a transmis ce tableur sans formation préalable, nous vous recommandons de contacter le Réseau Français des Etudiants pour le Développement Durable (REFEDD) : http://refedd.org/projet-carbone-campus/
L’outil permet de comptabiliser les émissions de gaz à effet de serre d'un campus. La finalité de l’outil consiste à introduire la méthode du Bilan Carbone aux étudiants et les assister dans la réalisation d'un plan d'action auprès de la direction de l'établissement et autres parties prenantes.
Cet outil n'a pas pour vocation à être utilisé pour un Bilan Carbone® officiel. Pour obtenir le tableur officiel, se rapprocher de l'Association Bilan Carbone (ABC) : https://www.associationbilancarbone.fr/</t>
    </r>
  </si>
  <si>
    <t>CONVERTISSEURS ENERGETIQUES</t>
  </si>
  <si>
    <t>Deux roues</t>
  </si>
  <si>
    <t>Ferroviaire</t>
  </si>
  <si>
    <t>Aérien</t>
  </si>
  <si>
    <t>Transports urbains</t>
  </si>
  <si>
    <t>Gaz frigorifique</t>
  </si>
  <si>
    <t xml:space="preserve">Combustible </t>
  </si>
  <si>
    <t>*
*
*
*
*</t>
  </si>
  <si>
    <t>*
*
*</t>
  </si>
  <si>
    <t>*
*
*
*
*
*</t>
  </si>
  <si>
    <t>FUITES DE FLUIDES FRIGORIGENES (Climatisation)</t>
  </si>
  <si>
    <t>ATTENTION : lorsque vous entrez une valeur dans une des cases à fond orange, le maintien d'une valeur nulle (0) dans une des cases à fond blanc et police noire ne signifie pas que le résultat est nul, mais simplement que l'arrondi est nul.</t>
  </si>
  <si>
    <t>FRET ROUTIER</t>
  </si>
  <si>
    <t>FRET AERIEN</t>
  </si>
  <si>
    <t>FRET FERROVIAIRE</t>
  </si>
  <si>
    <t>Taux de pertes en ligne</t>
  </si>
  <si>
    <t>Nb de tonne.km</t>
  </si>
  <si>
    <t>Fabrication + carburant kgCO2e par tonne.km avec amont</t>
  </si>
  <si>
    <t>Fact. d'émission (%)</t>
  </si>
  <si>
    <t>Données (%)</t>
  </si>
  <si>
    <t>Objectif (%)</t>
  </si>
  <si>
    <t>Nb de tonnes.km</t>
  </si>
  <si>
    <t>Forcage radiatif kgCO2e par tonne.km</t>
  </si>
  <si>
    <t>Tonnes.km effectuées</t>
  </si>
  <si>
    <t>FRET FLUVIAL / MARITIME</t>
  </si>
  <si>
    <t>EMISSIONS DU SITE CAMPUS 1</t>
  </si>
  <si>
    <t>Fret fluvial / maritime</t>
  </si>
  <si>
    <t>Porte-conteneurs - de moins de 1200 EVP</t>
  </si>
  <si>
    <t>Porte-conteneurs - de 3850 à 7499 EVP</t>
  </si>
  <si>
    <t>Type de fret maritime / fluvial</t>
  </si>
  <si>
    <t>CO2 seul kgCO2e/tonne.km avec amont</t>
  </si>
  <si>
    <t>Vapeur / Réseau de chaleur</t>
  </si>
  <si>
    <t>kgCO2e/kWh PCI avec amont</t>
  </si>
  <si>
    <t>Consommation (kWh PCI)</t>
  </si>
  <si>
    <t>kg émis par an</t>
  </si>
  <si>
    <t>kgCO2e par kg</t>
  </si>
  <si>
    <t>Consommation (kWh)</t>
  </si>
  <si>
    <t>kgCO2e par kWh</t>
  </si>
  <si>
    <t xml:space="preserve">Véhicule Utilitaire Léger </t>
  </si>
  <si>
    <t>Camion porteur - express, traction, PTAC 19T</t>
  </si>
  <si>
    <t>Camion remorque - grand volume, PTRA 40T</t>
  </si>
  <si>
    <t>Pour toute remarque ou question concernant cette outil, merci de nous contacter : contact@avenirclimatique.org</t>
  </si>
  <si>
    <t>Camion remorque - grand volume, PTRA 26T</t>
  </si>
  <si>
    <t>Camion porteur - marchandises diverses, PTAC 7,5T</t>
  </si>
  <si>
    <t>tCO2e</t>
  </si>
  <si>
    <t>kgCO2e par km parcouru</t>
  </si>
  <si>
    <t>A COMPLETER DANS FACTEURS D'EMISSIONS</t>
  </si>
  <si>
    <t>Emissions de CO2</t>
  </si>
  <si>
    <t>Métro</t>
  </si>
  <si>
    <t>RER</t>
  </si>
  <si>
    <t>Tramway</t>
  </si>
  <si>
    <t>TRANSPORTS URBAINS</t>
  </si>
  <si>
    <t>AUTOMOBILE</t>
  </si>
  <si>
    <t>DEUX ROUES</t>
  </si>
  <si>
    <t>FERROVIAIRE</t>
  </si>
  <si>
    <t>AERIEN</t>
  </si>
  <si>
    <t>METAUX</t>
  </si>
  <si>
    <t>PLASTIQUES</t>
  </si>
  <si>
    <t>PAPIERS / CARTONS</t>
  </si>
  <si>
    <t>VERRES</t>
  </si>
  <si>
    <t>PRODUITS CHIMIQUES</t>
  </si>
  <si>
    <t>SERVICES ET PRODUITS DIVERS</t>
  </si>
  <si>
    <t>Services et produits divers</t>
  </si>
  <si>
    <t>Mobilier - fabrication</t>
  </si>
  <si>
    <t>kgCO2/tonne</t>
  </si>
  <si>
    <t>VIANDES / POISSONS</t>
  </si>
  <si>
    <t>Boissons</t>
  </si>
  <si>
    <t>Soda - au cola - en magasin, prêt à consommer</t>
  </si>
  <si>
    <t>Eau minérale - 50cl, en bouteille - prêt à boire</t>
  </si>
  <si>
    <t>Eau - du robinet - en magasin, prêt à consommer</t>
  </si>
  <si>
    <t>Café - boisson prête à boire</t>
  </si>
  <si>
    <t>BOISSONS</t>
  </si>
  <si>
    <t>OPTION 2 : APPROCHE PAR LES REPAS MOYENS</t>
  </si>
  <si>
    <t>DECHETS</t>
  </si>
  <si>
    <t>BATIMENTS</t>
  </si>
  <si>
    <t>EQUIPEMENTS BUREAUTIQUES ET INFORMATIQUES</t>
  </si>
  <si>
    <t>Granulés bois - 8% d'humidité</t>
  </si>
  <si>
    <t>http://www.bilans-ges.ademe.fr/fr/basecarbone/donnees-consulter/choix-categorie</t>
  </si>
  <si>
    <t xml:space="preserve">Pour toute question ou pour trouver de nouveaux facteurs d'émissions : </t>
  </si>
  <si>
    <t>kgCO2e par passager.km</t>
  </si>
  <si>
    <t>kgCO2e par pers.km</t>
  </si>
  <si>
    <t>Forcage radiatif (kgCO2e) par pers.km</t>
  </si>
  <si>
    <t xml:space="preserve">Objectif de réduction </t>
  </si>
  <si>
    <t xml:space="preserve">Données (%) </t>
  </si>
  <si>
    <t>Tonnes utilisées</t>
  </si>
  <si>
    <t>kgCO2e par tonne</t>
  </si>
  <si>
    <t>Repas - à dominante animale (avec viande blanche)</t>
  </si>
  <si>
    <t>Repas - à dominante animale (avec rouge)</t>
  </si>
  <si>
    <t>Service - Assurance, services bancaires, conseil et honoraires</t>
  </si>
  <si>
    <t>Service - Courrier</t>
  </si>
  <si>
    <t>Service - Télécommunications</t>
  </si>
  <si>
    <t>Service - Films, enregistrement sonores, télévision et radio</t>
  </si>
  <si>
    <t>Service - Réparation et installation de machines et d'équipements</t>
  </si>
  <si>
    <t>Service - Services (imprimerie, publicité, architecture et ingénierie, maintenance multi-technique des bâtiments</t>
  </si>
  <si>
    <t>Service - Hébergement et restauration</t>
  </si>
  <si>
    <t>kgCO2e/keuro</t>
  </si>
  <si>
    <t>keuros facturés</t>
  </si>
  <si>
    <t>kgCO2e/keuros</t>
  </si>
  <si>
    <t>L consommés</t>
  </si>
  <si>
    <t>kgCO2e par L</t>
  </si>
  <si>
    <t>kgCO2e par repas</t>
  </si>
  <si>
    <t>Tonnes jetées</t>
  </si>
  <si>
    <t>AUTRES ALIMENTS</t>
  </si>
  <si>
    <t>Autres aliments</t>
  </si>
  <si>
    <t>Viande / Poissons</t>
  </si>
  <si>
    <t>Base Carbone ADEME</t>
  </si>
  <si>
    <t>Repas</t>
  </si>
  <si>
    <t>AUTRES EQUIPEMENTS SPECIFIQUES</t>
  </si>
  <si>
    <t>Nombre d'équipements</t>
  </si>
  <si>
    <t>kgCO2e par équipement</t>
  </si>
  <si>
    <t>Superficies (m2)</t>
  </si>
  <si>
    <t>kgCO2e/m2</t>
  </si>
  <si>
    <t>Durée d'amortissement (années)</t>
  </si>
  <si>
    <t>Autres équipements spécifiques</t>
  </si>
  <si>
    <t>Période de validité</t>
  </si>
  <si>
    <t>Outil développé sur la base de la méthode Bilan Carbone® par AVENIR CLIMATIQUE</t>
  </si>
  <si>
    <t>Total des émissions</t>
  </si>
  <si>
    <t>Total des incertitudes</t>
  </si>
  <si>
    <t>SITE 1</t>
  </si>
  <si>
    <t>SITE 2</t>
  </si>
  <si>
    <t>SITE 3</t>
  </si>
  <si>
    <t>Café moulu</t>
  </si>
  <si>
    <t>Chocolat - en poudre, non sucré - poids net en magasin</t>
  </si>
  <si>
    <t>L'onglet principal (Campus site) permet : 
- de renseigner les différentes quantités impactant le campus, sur les différents poste : de "sources fixes" à "immobilisations"
- d'en déduire son impact climatique en eq-CO2
- de se fixer des objectifs de réduction d'émissions de GES
L'onglet Facteur d'émission permet de vérifier les facteurs d'émissions utilisés dans l'onglet principal et d'en ajouter de nouveaux.
L'onglet Totalisateur permet de voir le résultat de son bilan, et poursuivre la démarche itérative.
L'onglet Convertisseurs permet de faire quelques conversions d'unités, et d'estimer les fuites de fluides frigorigènes.
Une notice détaillée de l'outil est disponible.</t>
  </si>
  <si>
    <t>Quelles sont les quantités d'eaux usées rejetées chaque année par an par les activités du campus ?</t>
  </si>
  <si>
    <t>m3 jetés</t>
  </si>
  <si>
    <t>Eaux usées</t>
  </si>
  <si>
    <t>EAUX USEES</t>
  </si>
  <si>
    <t>PanGas</t>
  </si>
  <si>
    <t>Avion (voyageurs) - court courrier 2nde classe</t>
  </si>
  <si>
    <t>Avion (voyageurs) - court courrier classe affaire</t>
  </si>
  <si>
    <t>Avion (voyageurs) - long courrier 2nde classe</t>
  </si>
  <si>
    <t>Avion (voyageurs) - long courrier classe affaire</t>
  </si>
  <si>
    <t>Avion (voyageurs) - long courrier 1ere classe</t>
  </si>
  <si>
    <t>Guide FE V5.0 ADEME</t>
  </si>
  <si>
    <t>Automobile</t>
  </si>
  <si>
    <t>Centre de loisir - structure béton</t>
  </si>
  <si>
    <t>Papier - fin de vie moyenne</t>
  </si>
  <si>
    <t>Quelle est la somme des tonnes de marchandise transportées x trajet (km) sur le fret routier pour chaque type de véhicule et livrées pour le campus ?</t>
  </si>
  <si>
    <t>Quelle est la somme des tonnes de marchandise transportées x trajet (km) sur le fret aérien pour chaque type de courrier et livrées pour le campus ?</t>
  </si>
  <si>
    <t>Quelle est la somme des tonnes de marchandise transportées x trajet (km) sur le fret ferroviaire et livrées pour le campus ?</t>
  </si>
  <si>
    <t>Quelle est la somme des tonnes de marchandise transportée x trajet (km) sur le fret maritime et livrées pour le campus ?</t>
  </si>
  <si>
    <t>kgCO2e par m3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</si>
</sst>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00"/>
    <numFmt numFmtId="166" formatCode="#,##0.00000"/>
    <numFmt numFmtId="167" formatCode="0.0"/>
    <numFmt numFmtId="168" formatCode="#,##0.000"/>
    <numFmt numFmtId="169" formatCode="0.00000"/>
    <numFmt numFmtId="170" formatCode="#,##0.0000"/>
    <numFmt numFmtId="171" formatCode="0%;\-0%;;"/>
    <numFmt numFmtId="172" formatCode="#,##0.000000"/>
    <numFmt numFmtId="173" formatCode="0.00.E+00"/>
    <numFmt numFmtId="174" formatCode="0.00E+00;\_x0000_"/>
    <numFmt numFmtId="175" formatCode="_-* #,##0.00\ [$€-40C]_-;\-* #,##0.00\ [$€-40C]_-;_-* &quot;-&quot;??\ [$€-40C]_-;_-@_-"/>
  </numFmts>
  <fonts count="70">
    <font>
      <sz val="9"/>
      <name val="Geneva"/>
    </font>
    <font>
      <sz val="11"/>
      <color indexed="8"/>
      <name val="Calibri"/>
      <family val="2"/>
    </font>
    <font>
      <b/>
      <sz val="9"/>
      <name val="Geneva"/>
    </font>
    <font>
      <i/>
      <sz val="9"/>
      <name val="Geneva"/>
    </font>
    <font>
      <sz val="9"/>
      <name val="Geneva"/>
    </font>
    <font>
      <sz val="9"/>
      <color indexed="10"/>
      <name val="Geneva"/>
    </font>
    <font>
      <sz val="9"/>
      <color indexed="8"/>
      <name val="Geneva"/>
    </font>
    <font>
      <b/>
      <sz val="12"/>
      <name val="Geneva"/>
    </font>
    <font>
      <b/>
      <sz val="9"/>
      <color indexed="8"/>
      <name val="Geneva"/>
    </font>
    <font>
      <sz val="10"/>
      <name val="Geneva"/>
    </font>
    <font>
      <b/>
      <sz val="9"/>
      <color indexed="16"/>
      <name val="Geneva"/>
    </font>
    <font>
      <sz val="9"/>
      <color indexed="12"/>
      <name val="Geneva"/>
    </font>
    <font>
      <b/>
      <sz val="9"/>
      <color indexed="12"/>
      <name val="Geneva"/>
    </font>
    <font>
      <u/>
      <sz val="9"/>
      <color indexed="12"/>
      <name val="Geneva"/>
    </font>
    <font>
      <sz val="10"/>
      <name val="Arial"/>
      <family val="2"/>
    </font>
    <font>
      <b/>
      <sz val="8"/>
      <color indexed="81"/>
      <name val="Tahoma"/>
      <family val="2"/>
    </font>
    <font>
      <sz val="8"/>
      <color indexed="81"/>
      <name val="Tahoma"/>
      <family val="2"/>
    </font>
    <font>
      <b/>
      <sz val="12"/>
      <color indexed="9"/>
      <name val="Geneva"/>
    </font>
    <font>
      <sz val="10"/>
      <color indexed="8"/>
      <name val="MS Sans Serif"/>
      <family val="2"/>
    </font>
    <font>
      <sz val="11"/>
      <color indexed="8"/>
      <name val="Calibri"/>
      <family val="2"/>
      <charset val="238"/>
    </font>
    <font>
      <sz val="11"/>
      <color indexed="9"/>
      <name val="Calibri"/>
      <family val="2"/>
      <charset val="238"/>
    </font>
    <font>
      <sz val="11"/>
      <color indexed="10"/>
      <name val="Calibri"/>
      <family val="2"/>
      <charset val="238"/>
    </font>
    <font>
      <b/>
      <sz val="11"/>
      <color indexed="52"/>
      <name val="Calibri"/>
      <family val="2"/>
      <charset val="238"/>
    </font>
    <font>
      <sz val="11"/>
      <color indexed="52"/>
      <name val="Calibri"/>
      <family val="2"/>
      <charset val="238"/>
    </font>
    <font>
      <sz val="11"/>
      <color indexed="62"/>
      <name val="Calibri"/>
      <family val="2"/>
      <charset val="238"/>
    </font>
    <font>
      <sz val="11"/>
      <color indexed="20"/>
      <name val="Calibri"/>
      <family val="2"/>
      <charset val="238"/>
    </font>
    <font>
      <sz val="11"/>
      <color indexed="60"/>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charset val="238"/>
    </font>
    <font>
      <b/>
      <sz val="11"/>
      <color indexed="9"/>
      <name val="Calibri"/>
      <family val="2"/>
      <charset val="238"/>
    </font>
    <font>
      <sz val="8"/>
      <name val="Geneva"/>
    </font>
    <font>
      <b/>
      <sz val="9"/>
      <name val="Geneva"/>
      <family val="2"/>
    </font>
    <font>
      <sz val="18"/>
      <name val="Geneva"/>
    </font>
    <font>
      <b/>
      <sz val="18"/>
      <name val="Geneva"/>
    </font>
    <font>
      <sz val="9"/>
      <color indexed="9"/>
      <name val="Geneva"/>
    </font>
    <font>
      <b/>
      <u/>
      <sz val="9"/>
      <color indexed="12"/>
      <name val="Arial"/>
      <family val="2"/>
    </font>
    <font>
      <b/>
      <sz val="9"/>
      <name val="Arial"/>
      <family val="2"/>
    </font>
    <font>
      <b/>
      <sz val="9"/>
      <color indexed="9"/>
      <name val="Arial"/>
      <family val="2"/>
    </font>
    <font>
      <u/>
      <sz val="9"/>
      <color indexed="12"/>
      <name val="Arial"/>
      <family val="2"/>
    </font>
    <font>
      <sz val="9"/>
      <name val="Geneva"/>
    </font>
    <font>
      <b/>
      <sz val="9"/>
      <color indexed="9"/>
      <name val="Geneva"/>
    </font>
    <font>
      <sz val="9"/>
      <color indexed="81"/>
      <name val="Tahoma"/>
      <family val="2"/>
    </font>
    <font>
      <b/>
      <sz val="9"/>
      <color indexed="81"/>
      <name val="Tahoma"/>
      <family val="2"/>
    </font>
    <font>
      <b/>
      <sz val="16"/>
      <color theme="0"/>
      <name val="Arial"/>
      <family val="2"/>
    </font>
    <font>
      <b/>
      <sz val="12"/>
      <color theme="3"/>
      <name val="Arial"/>
      <family val="2"/>
    </font>
    <font>
      <sz val="10"/>
      <color theme="1"/>
      <name val="Arial"/>
      <family val="2"/>
    </font>
    <font>
      <b/>
      <sz val="10"/>
      <color theme="3"/>
      <name val="Arial"/>
      <family val="2"/>
    </font>
    <font>
      <sz val="9"/>
      <color rgb="FFFF0000"/>
      <name val="Geneva"/>
    </font>
    <font>
      <sz val="9"/>
      <color theme="0"/>
      <name val="Geneva"/>
    </font>
    <font>
      <u/>
      <sz val="9"/>
      <color theme="0"/>
      <name val="Geneva"/>
    </font>
    <font>
      <b/>
      <sz val="18"/>
      <color theme="0"/>
      <name val="Geneva"/>
    </font>
    <font>
      <sz val="18"/>
      <color theme="0"/>
      <name val="Geneva"/>
    </font>
    <font>
      <b/>
      <sz val="9"/>
      <color theme="0"/>
      <name val="Geneva"/>
    </font>
    <font>
      <b/>
      <sz val="9"/>
      <color theme="9" tint="-0.499984740745262"/>
      <name val="Geneva"/>
    </font>
    <font>
      <b/>
      <u/>
      <sz val="9"/>
      <color theme="0"/>
      <name val="Geneva"/>
    </font>
    <font>
      <b/>
      <sz val="9"/>
      <color theme="8" tint="-0.499984740745262"/>
      <name val="Geneva"/>
    </font>
    <font>
      <b/>
      <sz val="9"/>
      <color theme="7" tint="-0.499984740745262"/>
      <name val="Geneva"/>
    </font>
    <font>
      <b/>
      <sz val="9"/>
      <color theme="6" tint="-0.499984740745262"/>
      <name val="Geneva"/>
    </font>
    <font>
      <b/>
      <sz val="9"/>
      <color theme="5" tint="-0.499984740745262"/>
      <name val="Geneva"/>
    </font>
    <font>
      <b/>
      <sz val="9"/>
      <color theme="3" tint="-0.499984740745262"/>
      <name val="Geneva"/>
    </font>
    <font>
      <b/>
      <sz val="14"/>
      <color theme="0"/>
      <name val="Geneva"/>
    </font>
    <font>
      <sz val="9"/>
      <color theme="1"/>
      <name val="Geneva"/>
    </font>
    <font>
      <b/>
      <sz val="9"/>
      <color theme="1"/>
      <name val="Geneva"/>
    </font>
    <font>
      <b/>
      <sz val="10"/>
      <color theme="0"/>
      <name val="Geneva"/>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ECC5"/>
        <bgColor indexed="64"/>
      </patternFill>
    </fill>
    <fill>
      <patternFill patternType="solid">
        <fgColor theme="4"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rgb="FFF6AB38"/>
        <bgColor indexed="64"/>
      </patternFill>
    </fill>
    <fill>
      <patternFill patternType="solid">
        <fgColor theme="3"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59999389629810485"/>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indexed="64"/>
      </left>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58">
    <xf numFmtId="0" fontId="0" fillId="0" borderId="0"/>
    <xf numFmtId="0" fontId="19" fillId="2" borderId="0" applyNumberFormat="0" applyBorder="0" applyAlignment="0" applyProtection="0"/>
    <xf numFmtId="0" fontId="1" fillId="2" borderId="0" applyNumberFormat="0" applyBorder="0" applyAlignment="0" applyProtection="0"/>
    <xf numFmtId="0" fontId="19" fillId="3" borderId="0" applyNumberFormat="0" applyBorder="0" applyAlignment="0" applyProtection="0"/>
    <xf numFmtId="0" fontId="1" fillId="3" borderId="0" applyNumberFormat="0" applyBorder="0" applyAlignment="0" applyProtection="0"/>
    <xf numFmtId="0" fontId="19" fillId="4" borderId="0" applyNumberFormat="0" applyBorder="0" applyAlignment="0" applyProtection="0"/>
    <xf numFmtId="0" fontId="1" fillId="4"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9" fillId="6" borderId="0" applyNumberFormat="0" applyBorder="0" applyAlignment="0" applyProtection="0"/>
    <xf numFmtId="0" fontId="1" fillId="6" borderId="0" applyNumberFormat="0" applyBorder="0" applyAlignment="0" applyProtection="0"/>
    <xf numFmtId="0" fontId="19" fillId="7" borderId="0" applyNumberFormat="0" applyBorder="0" applyAlignment="0" applyProtection="0"/>
    <xf numFmtId="0" fontId="1" fillId="7"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0" borderId="2" applyNumberFormat="0" applyFill="0" applyAlignment="0" applyProtection="0"/>
    <xf numFmtId="0" fontId="24" fillId="7" borderId="1" applyNumberFormat="0" applyAlignment="0" applyProtection="0"/>
    <xf numFmtId="0" fontId="25" fillId="3" borderId="0" applyNumberFormat="0" applyBorder="0" applyAlignment="0" applyProtection="0"/>
    <xf numFmtId="0" fontId="13" fillId="0" borderId="0" applyNumberFormat="0" applyFill="0" applyBorder="0" applyAlignment="0" applyProtection="0">
      <alignment vertical="top"/>
      <protection locked="0"/>
    </xf>
    <xf numFmtId="0" fontId="26" fillId="21" borderId="0" applyNumberFormat="0" applyBorder="0" applyAlignment="0" applyProtection="0"/>
    <xf numFmtId="0" fontId="4" fillId="0" borderId="0"/>
    <xf numFmtId="0" fontId="18" fillId="0" borderId="0"/>
    <xf numFmtId="0" fontId="14" fillId="0" borderId="0"/>
    <xf numFmtId="9" fontId="4" fillId="0" borderId="0" applyFont="0" applyFill="0" applyBorder="0" applyAlignment="0" applyProtection="0"/>
    <xf numFmtId="0" fontId="27" fillId="4" borderId="0" applyNumberFormat="0" applyBorder="0" applyAlignment="0" applyProtection="0"/>
    <xf numFmtId="0" fontId="28" fillId="20"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22" borderId="8" applyNumberFormat="0" applyAlignment="0" applyProtection="0"/>
  </cellStyleXfs>
  <cellXfs count="745">
    <xf numFmtId="0" fontId="0" fillId="0" borderId="0" xfId="0"/>
    <xf numFmtId="0" fontId="0" fillId="0" borderId="0" xfId="0" applyFont="1" applyFill="1"/>
    <xf numFmtId="0" fontId="0" fillId="0" borderId="0" xfId="0" applyFont="1" applyFill="1" applyBorder="1"/>
    <xf numFmtId="0" fontId="0" fillId="0" borderId="9" xfId="0" applyFont="1" applyFill="1" applyBorder="1"/>
    <xf numFmtId="0" fontId="0" fillId="23" borderId="9" xfId="0" applyFont="1" applyFill="1" applyBorder="1" applyAlignment="1">
      <alignment horizontal="center"/>
    </xf>
    <xf numFmtId="3" fontId="0" fillId="23" borderId="9" xfId="0" applyNumberFormat="1" applyFont="1" applyFill="1" applyBorder="1"/>
    <xf numFmtId="164" fontId="0" fillId="23" borderId="9" xfId="0" applyNumberFormat="1" applyFont="1" applyFill="1" applyBorder="1"/>
    <xf numFmtId="3" fontId="0" fillId="0" borderId="10" xfId="0" applyNumberFormat="1" applyFont="1" applyFill="1" applyBorder="1"/>
    <xf numFmtId="3" fontId="0" fillId="24" borderId="9" xfId="0" applyNumberFormat="1" applyFill="1" applyBorder="1"/>
    <xf numFmtId="0" fontId="0" fillId="23" borderId="0" xfId="0" applyFont="1" applyFill="1"/>
    <xf numFmtId="0" fontId="13" fillId="23" borderId="0" xfId="42" applyFont="1" applyFill="1" applyBorder="1" applyAlignment="1" applyProtection="1">
      <alignment horizontal="center" wrapText="1"/>
    </xf>
    <xf numFmtId="0" fontId="0" fillId="23" borderId="0" xfId="0" applyFont="1" applyFill="1" applyBorder="1" applyAlignment="1">
      <alignment horizontal="center"/>
    </xf>
    <xf numFmtId="3" fontId="5" fillId="23" borderId="0" xfId="0" applyNumberFormat="1" applyFont="1" applyFill="1" applyBorder="1"/>
    <xf numFmtId="3" fontId="0" fillId="23" borderId="0" xfId="0" applyNumberFormat="1" applyFont="1" applyFill="1" applyBorder="1"/>
    <xf numFmtId="0" fontId="0" fillId="23" borderId="0" xfId="0" applyFont="1" applyFill="1" applyBorder="1"/>
    <xf numFmtId="0" fontId="2" fillId="23" borderId="0" xfId="0" applyFont="1" applyFill="1" applyBorder="1"/>
    <xf numFmtId="0" fontId="2" fillId="23" borderId="0" xfId="0" applyFont="1" applyFill="1" applyBorder="1" applyAlignment="1">
      <alignment horizontal="center"/>
    </xf>
    <xf numFmtId="0" fontId="0" fillId="23" borderId="9" xfId="0" applyFont="1" applyFill="1" applyBorder="1"/>
    <xf numFmtId="0" fontId="0" fillId="23" borderId="0" xfId="0" applyFill="1"/>
    <xf numFmtId="3" fontId="0" fillId="23" borderId="0" xfId="0" applyNumberFormat="1" applyFill="1"/>
    <xf numFmtId="3" fontId="0" fillId="23" borderId="0" xfId="0" applyNumberFormat="1" applyFill="1" applyAlignment="1"/>
    <xf numFmtId="3" fontId="37" fillId="23" borderId="0" xfId="0" applyNumberFormat="1" applyFont="1" applyFill="1"/>
    <xf numFmtId="0" fontId="39" fillId="23" borderId="0" xfId="0" applyFont="1" applyFill="1"/>
    <xf numFmtId="0" fontId="2" fillId="23" borderId="9" xfId="0" applyFont="1" applyFill="1" applyBorder="1" applyAlignment="1">
      <alignment horizontal="center"/>
    </xf>
    <xf numFmtId="0" fontId="0" fillId="23" borderId="0" xfId="0" applyFill="1" applyBorder="1" applyAlignment="1"/>
    <xf numFmtId="0" fontId="0" fillId="23" borderId="0" xfId="0" applyFont="1" applyFill="1" applyBorder="1" applyAlignment="1">
      <alignment horizontal="center" wrapText="1"/>
    </xf>
    <xf numFmtId="3" fontId="0" fillId="23" borderId="9" xfId="0" applyNumberFormat="1" applyFont="1" applyFill="1" applyBorder="1" applyAlignment="1">
      <alignment horizontal="right"/>
    </xf>
    <xf numFmtId="0" fontId="7" fillId="23" borderId="0" xfId="0" applyFont="1" applyFill="1" applyBorder="1" applyAlignment="1">
      <alignment horizontal="center"/>
    </xf>
    <xf numFmtId="3" fontId="0" fillId="0" borderId="9" xfId="0" applyNumberFormat="1" applyFont="1" applyFill="1" applyBorder="1"/>
    <xf numFmtId="0" fontId="40" fillId="23" borderId="0" xfId="0" applyFont="1" applyFill="1" applyBorder="1"/>
    <xf numFmtId="0" fontId="38" fillId="23" borderId="0" xfId="0" applyFont="1" applyFill="1" applyBorder="1" applyAlignment="1"/>
    <xf numFmtId="0" fontId="40" fillId="23" borderId="0" xfId="0" applyFont="1" applyFill="1" applyBorder="1" applyAlignment="1">
      <alignment horizontal="center" wrapText="1"/>
    </xf>
    <xf numFmtId="0" fontId="17" fillId="23" borderId="0" xfId="0" applyFont="1" applyFill="1" applyBorder="1" applyAlignment="1">
      <alignment horizontal="center"/>
    </xf>
    <xf numFmtId="0" fontId="40" fillId="23" borderId="0" xfId="0" applyFont="1" applyFill="1" applyBorder="1" applyAlignment="1">
      <alignment horizontal="center"/>
    </xf>
    <xf numFmtId="0" fontId="40" fillId="23" borderId="0" xfId="0" applyFont="1" applyFill="1" applyBorder="1" applyAlignment="1">
      <alignment horizontal="left"/>
    </xf>
    <xf numFmtId="0" fontId="40" fillId="23" borderId="0" xfId="0" applyFont="1" applyFill="1" applyBorder="1" applyAlignment="1">
      <alignment horizontal="right"/>
    </xf>
    <xf numFmtId="3" fontId="40" fillId="23" borderId="0" xfId="0" applyNumberFormat="1" applyFont="1" applyFill="1" applyBorder="1"/>
    <xf numFmtId="4" fontId="40" fillId="23" borderId="0" xfId="0" applyNumberFormat="1" applyFont="1" applyFill="1" applyBorder="1"/>
    <xf numFmtId="11" fontId="40" fillId="23" borderId="0" xfId="0" applyNumberFormat="1" applyFont="1" applyFill="1" applyBorder="1"/>
    <xf numFmtId="168" fontId="40" fillId="23" borderId="0" xfId="0" applyNumberFormat="1" applyFont="1" applyFill="1" applyBorder="1"/>
    <xf numFmtId="173" fontId="40" fillId="23" borderId="0" xfId="0" applyNumberFormat="1" applyFont="1" applyFill="1" applyBorder="1"/>
    <xf numFmtId="174" fontId="40" fillId="23" borderId="0" xfId="0" applyNumberFormat="1" applyFont="1" applyFill="1" applyBorder="1"/>
    <xf numFmtId="172" fontId="40" fillId="23" borderId="0" xfId="0" applyNumberFormat="1" applyFont="1" applyFill="1" applyBorder="1"/>
    <xf numFmtId="166" fontId="40" fillId="23" borderId="0" xfId="0" applyNumberFormat="1" applyFont="1" applyFill="1" applyBorder="1"/>
    <xf numFmtId="169" fontId="40" fillId="23" borderId="0" xfId="0" applyNumberFormat="1" applyFont="1" applyFill="1" applyBorder="1"/>
    <xf numFmtId="164" fontId="40" fillId="23" borderId="0" xfId="0" applyNumberFormat="1" applyFont="1" applyFill="1" applyBorder="1"/>
    <xf numFmtId="165" fontId="40" fillId="23" borderId="0" xfId="0" applyNumberFormat="1" applyFont="1" applyFill="1" applyBorder="1"/>
    <xf numFmtId="0" fontId="2" fillId="23" borderId="0" xfId="0" applyFont="1" applyFill="1" applyBorder="1" applyAlignment="1"/>
    <xf numFmtId="0" fontId="4" fillId="23" borderId="9" xfId="0" applyFont="1" applyFill="1" applyBorder="1" applyAlignment="1">
      <alignment horizontal="center"/>
    </xf>
    <xf numFmtId="0" fontId="0" fillId="23" borderId="9" xfId="0" applyFont="1" applyFill="1" applyBorder="1" applyAlignment="1">
      <alignment horizontal="left"/>
    </xf>
    <xf numFmtId="0" fontId="2" fillId="23" borderId="0" xfId="0" applyFont="1" applyFill="1" applyBorder="1" applyAlignment="1">
      <alignment horizontal="left"/>
    </xf>
    <xf numFmtId="0" fontId="0" fillId="23" borderId="9" xfId="0" applyFill="1" applyBorder="1" applyAlignment="1">
      <alignment horizontal="center"/>
    </xf>
    <xf numFmtId="0" fontId="4" fillId="23" borderId="9" xfId="0" applyFont="1" applyFill="1" applyBorder="1"/>
    <xf numFmtId="0" fontId="0" fillId="23" borderId="9" xfId="0" applyFill="1" applyBorder="1"/>
    <xf numFmtId="0" fontId="39" fillId="23" borderId="0" xfId="0" applyFont="1" applyFill="1" applyBorder="1" applyAlignment="1">
      <alignment horizontal="center"/>
    </xf>
    <xf numFmtId="0" fontId="13" fillId="23" borderId="0" xfId="42" applyFill="1" applyBorder="1" applyAlignment="1" applyProtection="1">
      <alignment horizontal="center" vertical="center" wrapText="1"/>
    </xf>
    <xf numFmtId="0" fontId="0" fillId="23" borderId="9" xfId="0" applyFill="1" applyBorder="1" applyAlignment="1">
      <alignment horizontal="left"/>
    </xf>
    <xf numFmtId="0" fontId="41" fillId="23" borderId="0" xfId="42" applyFont="1" applyFill="1" applyBorder="1" applyAlignment="1" applyProtection="1">
      <alignment horizontal="center" vertical="center" wrapText="1"/>
    </xf>
    <xf numFmtId="0" fontId="42" fillId="23" borderId="0" xfId="0" applyFont="1" applyFill="1" applyBorder="1" applyAlignment="1">
      <alignment horizontal="center" vertical="center" wrapText="1"/>
    </xf>
    <xf numFmtId="0" fontId="43" fillId="23" borderId="0" xfId="0" applyFont="1" applyFill="1" applyBorder="1" applyAlignment="1">
      <alignment horizontal="center" vertical="center" wrapText="1"/>
    </xf>
    <xf numFmtId="3" fontId="2" fillId="0" borderId="9" xfId="0" applyNumberFormat="1" applyFont="1" applyFill="1" applyBorder="1"/>
    <xf numFmtId="0" fontId="44" fillId="23" borderId="0" xfId="42" applyFont="1" applyFill="1" applyBorder="1" applyAlignment="1" applyProtection="1">
      <alignment horizontal="center" vertical="center" wrapText="1"/>
    </xf>
    <xf numFmtId="3" fontId="2" fillId="23" borderId="9" xfId="0" applyNumberFormat="1" applyFont="1" applyFill="1" applyBorder="1"/>
    <xf numFmtId="3" fontId="0" fillId="24" borderId="9" xfId="0" applyNumberFormat="1" applyFont="1" applyFill="1" applyBorder="1"/>
    <xf numFmtId="0" fontId="0" fillId="23" borderId="10" xfId="0" applyFill="1" applyBorder="1"/>
    <xf numFmtId="0" fontId="2" fillId="23" borderId="17" xfId="0" applyFont="1" applyFill="1" applyBorder="1"/>
    <xf numFmtId="0" fontId="0" fillId="23" borderId="19" xfId="0" applyFont="1" applyFill="1" applyBorder="1"/>
    <xf numFmtId="3" fontId="2" fillId="23" borderId="20" xfId="0" applyNumberFormat="1" applyFont="1" applyFill="1" applyBorder="1"/>
    <xf numFmtId="0" fontId="0" fillId="23" borderId="17" xfId="0" applyFont="1" applyFill="1" applyBorder="1"/>
    <xf numFmtId="3" fontId="2" fillId="0" borderId="20" xfId="0" applyNumberFormat="1" applyFont="1" applyFill="1" applyBorder="1"/>
    <xf numFmtId="0" fontId="2" fillId="23" borderId="19" xfId="0" applyFont="1" applyFill="1" applyBorder="1"/>
    <xf numFmtId="3" fontId="2" fillId="23" borderId="21" xfId="0" applyNumberFormat="1" applyFont="1" applyFill="1" applyBorder="1"/>
    <xf numFmtId="0" fontId="2" fillId="23" borderId="20" xfId="0" applyFont="1" applyFill="1" applyBorder="1" applyAlignment="1">
      <alignment horizontal="center"/>
    </xf>
    <xf numFmtId="0" fontId="2" fillId="23" borderId="0" xfId="0" applyFont="1" applyFill="1" applyBorder="1" applyAlignment="1">
      <alignment vertical="center"/>
    </xf>
    <xf numFmtId="0" fontId="2" fillId="23" borderId="24" xfId="0" applyFont="1" applyFill="1" applyBorder="1"/>
    <xf numFmtId="0" fontId="2" fillId="23" borderId="24" xfId="0" applyFont="1" applyFill="1" applyBorder="1" applyAlignment="1">
      <alignment horizontal="left"/>
    </xf>
    <xf numFmtId="3" fontId="2" fillId="23" borderId="0" xfId="0" applyNumberFormat="1" applyFont="1" applyFill="1" applyBorder="1"/>
    <xf numFmtId="0" fontId="4" fillId="23" borderId="0" xfId="0" applyFont="1" applyFill="1" applyBorder="1" applyAlignment="1"/>
    <xf numFmtId="0" fontId="0" fillId="23" borderId="0" xfId="0" applyFill="1" applyBorder="1" applyAlignment="1">
      <alignment horizontal="center"/>
    </xf>
    <xf numFmtId="0" fontId="4" fillId="23" borderId="0" xfId="0" applyFont="1" applyFill="1" applyBorder="1"/>
    <xf numFmtId="0" fontId="45" fillId="23" borderId="0" xfId="0" applyFont="1" applyFill="1" applyBorder="1"/>
    <xf numFmtId="0" fontId="45" fillId="23" borderId="0" xfId="0" applyFont="1" applyFill="1" applyBorder="1" applyAlignment="1">
      <alignment horizontal="center"/>
    </xf>
    <xf numFmtId="0" fontId="45" fillId="23" borderId="17" xfId="0" applyFont="1" applyFill="1" applyBorder="1"/>
    <xf numFmtId="3" fontId="45" fillId="23" borderId="20" xfId="0" applyNumberFormat="1" applyFont="1" applyFill="1" applyBorder="1"/>
    <xf numFmtId="3" fontId="45" fillId="23" borderId="9" xfId="0" applyNumberFormat="1" applyFont="1" applyFill="1" applyBorder="1"/>
    <xf numFmtId="1" fontId="45" fillId="23" borderId="9" xfId="0" applyNumberFormat="1" applyFont="1" applyFill="1" applyBorder="1"/>
    <xf numFmtId="9" fontId="4" fillId="23" borderId="9" xfId="0" applyNumberFormat="1" applyFont="1" applyFill="1" applyBorder="1"/>
    <xf numFmtId="3" fontId="45" fillId="23" borderId="9" xfId="47" applyNumberFormat="1" applyFont="1" applyFill="1" applyBorder="1"/>
    <xf numFmtId="0" fontId="45" fillId="23" borderId="22" xfId="0" applyFont="1" applyFill="1" applyBorder="1"/>
    <xf numFmtId="3" fontId="45" fillId="23" borderId="23" xfId="0" applyNumberFormat="1" applyFont="1" applyFill="1" applyBorder="1"/>
    <xf numFmtId="9" fontId="2" fillId="23" borderId="9" xfId="47" applyFont="1" applyFill="1" applyBorder="1"/>
    <xf numFmtId="9" fontId="2" fillId="23" borderId="0" xfId="47" applyFont="1" applyFill="1" applyBorder="1"/>
    <xf numFmtId="9" fontId="2" fillId="23" borderId="9" xfId="0" applyNumberFormat="1" applyFont="1" applyFill="1" applyBorder="1"/>
    <xf numFmtId="3" fontId="2" fillId="23" borderId="9" xfId="47" applyNumberFormat="1" applyFont="1" applyFill="1" applyBorder="1"/>
    <xf numFmtId="0" fontId="9" fillId="23" borderId="0" xfId="0" applyFont="1" applyFill="1" applyBorder="1"/>
    <xf numFmtId="0" fontId="10" fillId="23" borderId="0" xfId="0" applyFont="1" applyFill="1"/>
    <xf numFmtId="0" fontId="7" fillId="23" borderId="0" xfId="0" applyFont="1" applyFill="1" applyAlignment="1">
      <alignment horizontal="center"/>
    </xf>
    <xf numFmtId="3" fontId="0" fillId="23" borderId="0" xfId="0" applyNumberFormat="1" applyFont="1" applyFill="1"/>
    <xf numFmtId="0" fontId="2" fillId="23" borderId="10" xfId="0" applyFont="1" applyFill="1" applyBorder="1"/>
    <xf numFmtId="9" fontId="6" fillId="23" borderId="0" xfId="0" applyNumberFormat="1" applyFont="1" applyFill="1" applyBorder="1"/>
    <xf numFmtId="3" fontId="0" fillId="23" borderId="9" xfId="0" applyNumberFormat="1" applyFont="1" applyFill="1" applyBorder="1" applyAlignment="1"/>
    <xf numFmtId="3" fontId="0" fillId="23" borderId="10" xfId="0" applyNumberFormat="1" applyFont="1" applyFill="1" applyBorder="1"/>
    <xf numFmtId="3" fontId="2" fillId="23" borderId="17" xfId="0" applyNumberFormat="1" applyFont="1" applyFill="1" applyBorder="1"/>
    <xf numFmtId="3" fontId="4" fillId="23" borderId="9" xfId="0" applyNumberFormat="1" applyFont="1" applyFill="1" applyBorder="1"/>
    <xf numFmtId="3" fontId="2" fillId="23" borderId="9" xfId="0" applyNumberFormat="1" applyFont="1" applyFill="1" applyBorder="1" applyAlignment="1"/>
    <xf numFmtId="0" fontId="4" fillId="23" borderId="17" xfId="0" applyFont="1" applyFill="1" applyBorder="1"/>
    <xf numFmtId="3" fontId="0" fillId="23" borderId="10" xfId="0" applyNumberFormat="1" applyFont="1" applyFill="1" applyBorder="1" applyAlignment="1"/>
    <xf numFmtId="3" fontId="4" fillId="23" borderId="0" xfId="0" applyNumberFormat="1" applyFont="1" applyFill="1" applyBorder="1"/>
    <xf numFmtId="0" fontId="4" fillId="23" borderId="0" xfId="0" applyFont="1" applyFill="1" applyBorder="1" applyAlignment="1">
      <alignment horizontal="center"/>
    </xf>
    <xf numFmtId="3" fontId="4" fillId="23" borderId="20" xfId="0" applyNumberFormat="1" applyFont="1" applyFill="1" applyBorder="1"/>
    <xf numFmtId="9" fontId="4" fillId="23" borderId="9" xfId="47" applyFont="1" applyFill="1" applyBorder="1"/>
    <xf numFmtId="9" fontId="4" fillId="23" borderId="0" xfId="47" applyFont="1" applyFill="1" applyBorder="1"/>
    <xf numFmtId="3" fontId="4" fillId="23" borderId="9" xfId="47" applyNumberFormat="1" applyFont="1" applyFill="1" applyBorder="1"/>
    <xf numFmtId="9" fontId="4" fillId="23" borderId="0" xfId="47" applyFont="1" applyFill="1"/>
    <xf numFmtId="0" fontId="0" fillId="23" borderId="0" xfId="0" applyNumberFormat="1" applyFont="1" applyFill="1"/>
    <xf numFmtId="164" fontId="0" fillId="23" borderId="0" xfId="0" applyNumberFormat="1" applyFont="1" applyFill="1"/>
    <xf numFmtId="0" fontId="11" fillId="23" borderId="0" xfId="0" applyFont="1" applyFill="1"/>
    <xf numFmtId="0" fontId="12" fillId="23" borderId="0" xfId="0" applyFont="1" applyFill="1"/>
    <xf numFmtId="165" fontId="2" fillId="23" borderId="0" xfId="46" applyNumberFormat="1" applyFont="1" applyFill="1" applyBorder="1" applyAlignment="1"/>
    <xf numFmtId="165" fontId="4" fillId="23" borderId="0" xfId="46" applyNumberFormat="1" applyFont="1" applyFill="1" applyBorder="1"/>
    <xf numFmtId="165" fontId="2" fillId="23" borderId="27" xfId="46" applyNumberFormat="1" applyFont="1" applyFill="1" applyBorder="1"/>
    <xf numFmtId="165" fontId="2" fillId="23" borderId="0" xfId="46" applyNumberFormat="1" applyFont="1" applyFill="1" applyBorder="1"/>
    <xf numFmtId="1" fontId="4" fillId="23" borderId="0" xfId="46" applyNumberFormat="1" applyFont="1" applyFill="1" applyBorder="1"/>
    <xf numFmtId="1" fontId="2" fillId="23" borderId="0" xfId="46" applyNumberFormat="1" applyFont="1" applyFill="1" applyBorder="1"/>
    <xf numFmtId="0" fontId="0" fillId="23" borderId="0" xfId="0" applyFont="1" applyFill="1" applyBorder="1" applyAlignment="1"/>
    <xf numFmtId="3" fontId="6" fillId="23" borderId="9" xfId="46" applyNumberFormat="1" applyFont="1" applyFill="1" applyBorder="1"/>
    <xf numFmtId="3" fontId="8" fillId="23" borderId="9" xfId="46" applyNumberFormat="1" applyFont="1" applyFill="1" applyBorder="1"/>
    <xf numFmtId="0" fontId="6" fillId="23" borderId="0" xfId="46" applyFont="1" applyFill="1" applyBorder="1"/>
    <xf numFmtId="3" fontId="8" fillId="23" borderId="0" xfId="46" applyNumberFormat="1" applyFont="1" applyFill="1" applyBorder="1"/>
    <xf numFmtId="0" fontId="4" fillId="23" borderId="0" xfId="46" applyFont="1" applyFill="1" applyBorder="1"/>
    <xf numFmtId="0" fontId="8" fillId="23" borderId="0" xfId="46" applyFont="1" applyFill="1" applyBorder="1"/>
    <xf numFmtId="0" fontId="0" fillId="23" borderId="20" xfId="0" applyFont="1" applyFill="1" applyBorder="1"/>
    <xf numFmtId="0" fontId="2" fillId="23" borderId="0" xfId="46" applyFont="1" applyFill="1" applyBorder="1"/>
    <xf numFmtId="0" fontId="6" fillId="23" borderId="9" xfId="45" applyFont="1" applyFill="1" applyBorder="1" applyAlignment="1">
      <alignment horizontal="left"/>
    </xf>
    <xf numFmtId="3" fontId="45" fillId="23" borderId="0" xfId="0" applyNumberFormat="1" applyFont="1" applyFill="1" applyBorder="1"/>
    <xf numFmtId="9" fontId="45" fillId="23" borderId="9" xfId="47" applyFont="1" applyFill="1" applyBorder="1"/>
    <xf numFmtId="9" fontId="45" fillId="23" borderId="0" xfId="47" applyFont="1" applyFill="1" applyBorder="1"/>
    <xf numFmtId="9" fontId="0" fillId="23" borderId="0" xfId="0" applyNumberFormat="1" applyFont="1" applyFill="1" applyBorder="1"/>
    <xf numFmtId="171" fontId="45" fillId="23" borderId="0" xfId="47" applyNumberFormat="1" applyFont="1" applyFill="1" applyBorder="1"/>
    <xf numFmtId="171" fontId="4" fillId="23" borderId="0" xfId="47" applyNumberFormat="1" applyFont="1" applyFill="1" applyBorder="1"/>
    <xf numFmtId="0" fontId="2" fillId="23" borderId="0" xfId="0" applyFont="1" applyFill="1"/>
    <xf numFmtId="164" fontId="0" fillId="23" borderId="0" xfId="0" applyNumberFormat="1" applyFont="1" applyFill="1" applyBorder="1"/>
    <xf numFmtId="3" fontId="45" fillId="23" borderId="9" xfId="0" applyNumberFormat="1" applyFont="1" applyFill="1" applyBorder="1" applyAlignment="1">
      <alignment horizontal="right"/>
    </xf>
    <xf numFmtId="9" fontId="45" fillId="23" borderId="9" xfId="0" applyNumberFormat="1" applyFont="1" applyFill="1" applyBorder="1"/>
    <xf numFmtId="0" fontId="9" fillId="23" borderId="0" xfId="0" applyFont="1" applyFill="1"/>
    <xf numFmtId="0" fontId="3" fillId="23" borderId="0" xfId="0" applyFont="1" applyFill="1" applyBorder="1" applyAlignment="1">
      <alignment horizontal="center"/>
    </xf>
    <xf numFmtId="0" fontId="4" fillId="23" borderId="0" xfId="0" applyFont="1" applyFill="1"/>
    <xf numFmtId="0" fontId="45" fillId="23" borderId="0" xfId="0" applyFont="1" applyFill="1"/>
    <xf numFmtId="9" fontId="45" fillId="23" borderId="0" xfId="47" applyFont="1" applyFill="1"/>
    <xf numFmtId="0" fontId="46" fillId="23" borderId="17" xfId="0" applyFont="1" applyFill="1" applyBorder="1"/>
    <xf numFmtId="0" fontId="2" fillId="23" borderId="17" xfId="0" applyFont="1" applyFill="1" applyBorder="1" applyAlignment="1">
      <alignment wrapText="1"/>
    </xf>
    <xf numFmtId="0" fontId="2" fillId="23" borderId="25" xfId="0" applyFont="1" applyFill="1" applyBorder="1" applyAlignment="1">
      <alignment wrapText="1"/>
    </xf>
    <xf numFmtId="3" fontId="2" fillId="23" borderId="20" xfId="0" applyNumberFormat="1" applyFont="1" applyFill="1" applyBorder="1" applyAlignment="1">
      <alignment wrapText="1"/>
    </xf>
    <xf numFmtId="3" fontId="2" fillId="23" borderId="9" xfId="0" applyNumberFormat="1" applyFont="1" applyFill="1" applyBorder="1" applyAlignment="1">
      <alignment wrapText="1"/>
    </xf>
    <xf numFmtId="0" fontId="2" fillId="23" borderId="22" xfId="0" applyFont="1" applyFill="1" applyBorder="1" applyAlignment="1">
      <alignment wrapText="1"/>
    </xf>
    <xf numFmtId="0" fontId="2" fillId="23" borderId="26" xfId="0" applyFont="1" applyFill="1" applyBorder="1" applyAlignment="1">
      <alignment wrapText="1"/>
    </xf>
    <xf numFmtId="3" fontId="2" fillId="23" borderId="23" xfId="0" applyNumberFormat="1" applyFont="1" applyFill="1" applyBorder="1" applyAlignment="1">
      <alignment wrapText="1"/>
    </xf>
    <xf numFmtId="0" fontId="2" fillId="23" borderId="24" xfId="0" applyFont="1" applyFill="1" applyBorder="1" applyAlignment="1">
      <alignment wrapText="1"/>
    </xf>
    <xf numFmtId="3" fontId="37" fillId="23" borderId="0" xfId="0" applyNumberFormat="1" applyFont="1" applyFill="1" applyAlignment="1">
      <alignment horizontal="center"/>
    </xf>
    <xf numFmtId="3" fontId="0" fillId="23" borderId="0" xfId="0" applyNumberFormat="1" applyFill="1" applyAlignment="1">
      <alignment horizontal="center"/>
    </xf>
    <xf numFmtId="0" fontId="0" fillId="23" borderId="0" xfId="0" applyNumberFormat="1" applyFill="1" applyBorder="1"/>
    <xf numFmtId="0" fontId="0" fillId="23" borderId="0" xfId="0" applyNumberFormat="1" applyFill="1" applyBorder="1" applyAlignment="1">
      <alignment horizontal="left"/>
    </xf>
    <xf numFmtId="3" fontId="13" fillId="23" borderId="0" xfId="42" applyNumberFormat="1" applyFill="1" applyBorder="1" applyAlignment="1" applyProtection="1">
      <alignment horizontal="center" vertical="center" wrapText="1"/>
    </xf>
    <xf numFmtId="3" fontId="44" fillId="23" borderId="0" xfId="42" applyNumberFormat="1" applyFont="1" applyFill="1" applyBorder="1" applyAlignment="1" applyProtection="1">
      <alignment horizontal="center" vertical="center" wrapText="1"/>
    </xf>
    <xf numFmtId="3" fontId="2" fillId="23" borderId="0" xfId="0" applyNumberFormat="1" applyFont="1" applyFill="1" applyBorder="1" applyAlignment="1">
      <alignment horizontal="center"/>
    </xf>
    <xf numFmtId="3" fontId="10" fillId="23" borderId="0" xfId="0" applyNumberFormat="1" applyFont="1" applyFill="1"/>
    <xf numFmtId="3" fontId="4" fillId="23" borderId="0" xfId="47" applyNumberFormat="1" applyFont="1" applyFill="1"/>
    <xf numFmtId="3" fontId="2" fillId="23" borderId="0" xfId="46" applyNumberFormat="1" applyFont="1" applyFill="1" applyBorder="1" applyAlignment="1"/>
    <xf numFmtId="3" fontId="4" fillId="23" borderId="0" xfId="46" applyNumberFormat="1" applyFont="1" applyFill="1" applyBorder="1"/>
    <xf numFmtId="3" fontId="6" fillId="23" borderId="0" xfId="46" applyNumberFormat="1" applyFont="1" applyFill="1" applyBorder="1"/>
    <xf numFmtId="3" fontId="0" fillId="23" borderId="0" xfId="0" applyNumberFormat="1" applyFont="1" applyFill="1" applyBorder="1" applyAlignment="1">
      <alignment horizontal="center"/>
    </xf>
    <xf numFmtId="3" fontId="2" fillId="23" borderId="9" xfId="0" applyNumberFormat="1" applyFont="1" applyFill="1" applyBorder="1" applyAlignment="1">
      <alignment horizontal="center"/>
    </xf>
    <xf numFmtId="3" fontId="45" fillId="23" borderId="0" xfId="47" applyNumberFormat="1" applyFont="1" applyFill="1" applyBorder="1"/>
    <xf numFmtId="3" fontId="39" fillId="23" borderId="0" xfId="0" applyNumberFormat="1" applyFont="1" applyFill="1" applyBorder="1" applyAlignment="1">
      <alignment horizontal="center"/>
    </xf>
    <xf numFmtId="3" fontId="3" fillId="23" borderId="0" xfId="0" applyNumberFormat="1" applyFont="1" applyFill="1" applyBorder="1" applyAlignment="1">
      <alignment horizontal="center"/>
    </xf>
    <xf numFmtId="3" fontId="4" fillId="23" borderId="0" xfId="0" applyNumberFormat="1" applyFont="1" applyFill="1"/>
    <xf numFmtId="3" fontId="45" fillId="23" borderId="0" xfId="0" applyNumberFormat="1" applyFont="1" applyFill="1"/>
    <xf numFmtId="3" fontId="2" fillId="23" borderId="0" xfId="0" applyNumberFormat="1" applyFont="1" applyFill="1"/>
    <xf numFmtId="3" fontId="0" fillId="0" borderId="0" xfId="0" applyNumberFormat="1" applyFont="1" applyFill="1"/>
    <xf numFmtId="3" fontId="42" fillId="23" borderId="0" xfId="0" applyNumberFormat="1" applyFont="1" applyFill="1" applyBorder="1" applyAlignment="1">
      <alignment horizontal="center" vertical="center" wrapText="1"/>
    </xf>
    <xf numFmtId="3" fontId="2" fillId="23" borderId="0" xfId="0" applyNumberFormat="1" applyFont="1" applyFill="1" applyBorder="1" applyAlignment="1"/>
    <xf numFmtId="3" fontId="2" fillId="23" borderId="0" xfId="0" applyNumberFormat="1" applyFont="1" applyFill="1" applyBorder="1" applyAlignment="1">
      <alignment horizontal="left"/>
    </xf>
    <xf numFmtId="3" fontId="2" fillId="23" borderId="0" xfId="47" applyNumberFormat="1" applyFont="1" applyFill="1" applyBorder="1"/>
    <xf numFmtId="3" fontId="4" fillId="23" borderId="0" xfId="47" applyNumberFormat="1" applyFont="1" applyFill="1" applyBorder="1"/>
    <xf numFmtId="3" fontId="38" fillId="23" borderId="0" xfId="0" applyNumberFormat="1" applyFont="1" applyFill="1" applyBorder="1" applyAlignment="1"/>
    <xf numFmtId="3" fontId="4" fillId="23" borderId="0" xfId="0" applyNumberFormat="1" applyFont="1" applyFill="1" applyBorder="1" applyAlignment="1"/>
    <xf numFmtId="3" fontId="43" fillId="23" borderId="0" xfId="0" applyNumberFormat="1" applyFont="1" applyFill="1" applyBorder="1" applyAlignment="1">
      <alignment horizontal="center" vertical="center" wrapText="1"/>
    </xf>
    <xf numFmtId="3" fontId="2" fillId="23" borderId="24" xfId="0" applyNumberFormat="1" applyFont="1" applyFill="1" applyBorder="1" applyAlignment="1">
      <alignment horizontal="left"/>
    </xf>
    <xf numFmtId="3" fontId="7" fillId="23" borderId="0" xfId="0" applyNumberFormat="1" applyFont="1" applyFill="1" applyBorder="1" applyAlignment="1">
      <alignment horizontal="center"/>
    </xf>
    <xf numFmtId="0" fontId="5" fillId="23" borderId="0" xfId="0" applyFont="1" applyFill="1" applyBorder="1"/>
    <xf numFmtId="0" fontId="40" fillId="23" borderId="0" xfId="0" applyFont="1" applyFill="1"/>
    <xf numFmtId="9" fontId="45" fillId="23" borderId="9" xfId="47" applyNumberFormat="1" applyFont="1" applyFill="1" applyBorder="1"/>
    <xf numFmtId="9" fontId="4" fillId="23" borderId="9" xfId="47" applyNumberFormat="1" applyFont="1" applyFill="1" applyBorder="1"/>
    <xf numFmtId="9" fontId="45" fillId="23" borderId="9" xfId="47" applyNumberFormat="1" applyFont="1" applyFill="1" applyBorder="1" applyAlignment="1">
      <alignment horizontal="right"/>
    </xf>
    <xf numFmtId="9" fontId="2" fillId="23" borderId="9" xfId="47" applyNumberFormat="1" applyFont="1" applyFill="1" applyBorder="1"/>
    <xf numFmtId="9" fontId="2" fillId="23" borderId="9" xfId="47" applyNumberFormat="1" applyFont="1" applyFill="1" applyBorder="1" applyAlignment="1">
      <alignment wrapText="1"/>
    </xf>
    <xf numFmtId="165" fontId="0" fillId="23" borderId="9" xfId="46" applyNumberFormat="1" applyFont="1" applyFill="1" applyBorder="1"/>
    <xf numFmtId="0" fontId="0" fillId="0" borderId="9" xfId="0" applyFill="1" applyBorder="1" applyAlignment="1">
      <alignment horizontal="left"/>
    </xf>
    <xf numFmtId="0" fontId="0" fillId="0" borderId="9" xfId="0" applyBorder="1"/>
    <xf numFmtId="0" fontId="0" fillId="0" borderId="0" xfId="0" applyAlignment="1">
      <alignment horizontal="left"/>
    </xf>
    <xf numFmtId="9" fontId="0" fillId="0" borderId="9" xfId="47" applyFont="1" applyBorder="1"/>
    <xf numFmtId="9" fontId="0" fillId="0" borderId="0" xfId="47" applyFont="1"/>
    <xf numFmtId="14" fontId="0" fillId="0" borderId="9" xfId="0" applyNumberFormat="1" applyBorder="1"/>
    <xf numFmtId="17" fontId="0" fillId="0" borderId="9" xfId="0" applyNumberFormat="1" applyBorder="1"/>
    <xf numFmtId="165" fontId="0" fillId="23" borderId="9" xfId="46" applyNumberFormat="1" applyFont="1" applyFill="1" applyBorder="1" applyAlignment="1">
      <alignment horizontal="left"/>
    </xf>
    <xf numFmtId="11" fontId="0" fillId="0" borderId="9" xfId="0" applyNumberFormat="1" applyBorder="1"/>
    <xf numFmtId="0" fontId="0" fillId="0" borderId="9" xfId="0" applyBorder="1" applyAlignment="1">
      <alignment wrapText="1"/>
    </xf>
    <xf numFmtId="0" fontId="13" fillId="0" borderId="0" xfId="42" applyAlignment="1" applyProtection="1"/>
    <xf numFmtId="0" fontId="0" fillId="25" borderId="0" xfId="0" applyFill="1"/>
    <xf numFmtId="0" fontId="51" fillId="25" borderId="0" xfId="0" applyFont="1" applyFill="1"/>
    <xf numFmtId="0" fontId="0" fillId="26" borderId="34" xfId="0" applyFill="1" applyBorder="1"/>
    <xf numFmtId="0" fontId="0" fillId="26" borderId="35" xfId="0" applyFill="1" applyBorder="1"/>
    <xf numFmtId="0" fontId="0" fillId="26" borderId="36" xfId="0" applyFill="1" applyBorder="1"/>
    <xf numFmtId="0" fontId="0" fillId="26" borderId="37" xfId="0" applyFill="1" applyBorder="1"/>
    <xf numFmtId="0" fontId="50" fillId="26" borderId="0" xfId="0" applyFont="1" applyFill="1" applyBorder="1"/>
    <xf numFmtId="0" fontId="0" fillId="26" borderId="0" xfId="0" applyFill="1" applyBorder="1"/>
    <xf numFmtId="0" fontId="0" fillId="26" borderId="38" xfId="0" applyFill="1" applyBorder="1"/>
    <xf numFmtId="0" fontId="0" fillId="26" borderId="39" xfId="0" applyFill="1" applyBorder="1"/>
    <xf numFmtId="0" fontId="51" fillId="26" borderId="40" xfId="0" applyFont="1" applyFill="1" applyBorder="1"/>
    <xf numFmtId="0" fontId="51" fillId="26" borderId="41" xfId="0" applyFont="1" applyFill="1" applyBorder="1"/>
    <xf numFmtId="0" fontId="51" fillId="26" borderId="42" xfId="0" applyFont="1" applyFill="1" applyBorder="1"/>
    <xf numFmtId="0" fontId="51" fillId="26" borderId="0" xfId="0" applyFont="1" applyFill="1" applyBorder="1"/>
    <xf numFmtId="0" fontId="51" fillId="26" borderId="43" xfId="0" applyFont="1" applyFill="1" applyBorder="1"/>
    <xf numFmtId="0" fontId="0" fillId="26" borderId="42" xfId="0" applyFill="1" applyBorder="1"/>
    <xf numFmtId="0" fontId="0" fillId="26" borderId="43" xfId="0" applyFill="1" applyBorder="1"/>
    <xf numFmtId="0" fontId="0" fillId="23" borderId="9" xfId="0" applyFont="1" applyFill="1" applyBorder="1" applyAlignment="1">
      <alignment horizontal="center" vertical="center"/>
    </xf>
    <xf numFmtId="0" fontId="0" fillId="25" borderId="9" xfId="0" applyFont="1" applyFill="1" applyBorder="1" applyAlignment="1">
      <alignment horizontal="center" vertical="center"/>
    </xf>
    <xf numFmtId="0" fontId="0" fillId="23" borderId="9" xfId="0" applyFont="1" applyFill="1" applyBorder="1" applyAlignment="1">
      <alignment horizontal="center" vertical="center" wrapText="1"/>
    </xf>
    <xf numFmtId="3" fontId="0" fillId="27" borderId="9" xfId="0" applyNumberFormat="1" applyFont="1" applyFill="1" applyBorder="1" applyAlignment="1">
      <alignment horizontal="center"/>
    </xf>
    <xf numFmtId="1" fontId="2" fillId="23" borderId="9" xfId="0" applyNumberFormat="1" applyFont="1" applyFill="1" applyBorder="1" applyAlignment="1">
      <alignment horizontal="center"/>
    </xf>
    <xf numFmtId="0" fontId="0" fillId="23" borderId="0" xfId="0" applyFont="1" applyFill="1" applyBorder="1" applyAlignment="1">
      <alignment horizontal="left"/>
    </xf>
    <xf numFmtId="3" fontId="0" fillId="25" borderId="0" xfId="0" applyNumberFormat="1" applyFont="1" applyFill="1" applyBorder="1"/>
    <xf numFmtId="3" fontId="0" fillId="23" borderId="0" xfId="0" applyNumberFormat="1" applyFont="1" applyFill="1" applyBorder="1" applyAlignment="1">
      <alignment horizontal="right"/>
    </xf>
    <xf numFmtId="3" fontId="53" fillId="25" borderId="9" xfId="0" applyNumberFormat="1" applyFont="1" applyFill="1" applyBorder="1" applyAlignment="1">
      <alignment horizontal="center"/>
    </xf>
    <xf numFmtId="9" fontId="53" fillId="23" borderId="9" xfId="0" applyNumberFormat="1" applyFont="1" applyFill="1" applyBorder="1" applyAlignment="1">
      <alignment horizontal="center"/>
    </xf>
    <xf numFmtId="164" fontId="53" fillId="25" borderId="9" xfId="0" applyNumberFormat="1" applyFont="1" applyFill="1" applyBorder="1" applyAlignment="1">
      <alignment horizontal="center"/>
    </xf>
    <xf numFmtId="0" fontId="0" fillId="25" borderId="9" xfId="0" applyFont="1" applyFill="1" applyBorder="1" applyAlignment="1">
      <alignment horizontal="center" vertical="center" wrapText="1"/>
    </xf>
    <xf numFmtId="0" fontId="4" fillId="23" borderId="17" xfId="0" applyFont="1" applyFill="1" applyBorder="1" applyAlignment="1"/>
    <xf numFmtId="0" fontId="0" fillId="0" borderId="19" xfId="0" applyBorder="1" applyAlignment="1"/>
    <xf numFmtId="0" fontId="2" fillId="23" borderId="0" xfId="0" applyFont="1" applyFill="1" applyBorder="1" applyAlignment="1"/>
    <xf numFmtId="0" fontId="0" fillId="23" borderId="0" xfId="0" applyFill="1" applyAlignment="1"/>
    <xf numFmtId="0" fontId="0" fillId="23" borderId="0" xfId="0" applyFill="1" applyBorder="1" applyAlignment="1"/>
    <xf numFmtId="0" fontId="0" fillId="0" borderId="9" xfId="0" applyFont="1" applyBorder="1"/>
    <xf numFmtId="0" fontId="0" fillId="0" borderId="9" xfId="0" applyFill="1" applyBorder="1"/>
    <xf numFmtId="0" fontId="2" fillId="23" borderId="0" xfId="0" applyFont="1" applyFill="1" applyBorder="1" applyAlignment="1">
      <alignment horizontal="left"/>
    </xf>
    <xf numFmtId="0" fontId="2" fillId="23" borderId="0" xfId="0" applyFont="1" applyFill="1" applyBorder="1" applyAlignment="1"/>
    <xf numFmtId="0" fontId="2" fillId="23" borderId="24" xfId="0" applyFont="1" applyFill="1" applyBorder="1" applyAlignment="1">
      <alignment horizontal="left"/>
    </xf>
    <xf numFmtId="0" fontId="4" fillId="23" borderId="17" xfId="0" applyFont="1" applyFill="1" applyBorder="1" applyAlignment="1"/>
    <xf numFmtId="0" fontId="0" fillId="0" borderId="19" xfId="0" applyBorder="1" applyAlignment="1"/>
    <xf numFmtId="0" fontId="0" fillId="23" borderId="0" xfId="0" applyFill="1" applyAlignment="1"/>
    <xf numFmtId="0" fontId="2" fillId="23" borderId="0" xfId="0" applyFont="1" applyFill="1" applyBorder="1" applyAlignment="1">
      <alignment horizontal="center"/>
    </xf>
    <xf numFmtId="0" fontId="0" fillId="23" borderId="0" xfId="0" applyFill="1" applyAlignment="1">
      <alignment horizontal="left"/>
    </xf>
    <xf numFmtId="0" fontId="0" fillId="23" borderId="9" xfId="0" applyFont="1" applyFill="1" applyBorder="1" applyAlignment="1">
      <alignment horizontal="center"/>
    </xf>
    <xf numFmtId="0" fontId="0" fillId="23" borderId="9" xfId="0" applyFill="1" applyBorder="1" applyAlignment="1">
      <alignment horizontal="center"/>
    </xf>
    <xf numFmtId="0" fontId="0" fillId="23" borderId="17" xfId="0" applyFont="1" applyFill="1" applyBorder="1" applyAlignment="1">
      <alignment horizontal="center"/>
    </xf>
    <xf numFmtId="0" fontId="0" fillId="23" borderId="19" xfId="0" applyFont="1" applyFill="1" applyBorder="1" applyAlignment="1">
      <alignment horizontal="center"/>
    </xf>
    <xf numFmtId="0" fontId="0" fillId="23" borderId="20" xfId="0" applyFont="1" applyFill="1" applyBorder="1" applyAlignment="1">
      <alignment horizontal="center"/>
    </xf>
    <xf numFmtId="0" fontId="0" fillId="0" borderId="0" xfId="0" applyAlignment="1">
      <alignment horizontal="center"/>
    </xf>
    <xf numFmtId="9" fontId="0" fillId="0" borderId="9" xfId="47" applyFont="1" applyFill="1" applyBorder="1"/>
    <xf numFmtId="0" fontId="54" fillId="28" borderId="9" xfId="0" applyFont="1" applyFill="1" applyBorder="1" applyAlignment="1">
      <alignment horizontal="left"/>
    </xf>
    <xf numFmtId="0" fontId="54" fillId="29" borderId="9" xfId="0" applyFont="1" applyFill="1" applyBorder="1" applyAlignment="1">
      <alignment horizontal="left"/>
    </xf>
    <xf numFmtId="0" fontId="54" fillId="30" borderId="9" xfId="0" applyFont="1" applyFill="1" applyBorder="1" applyAlignment="1">
      <alignment horizontal="left" vertical="center"/>
    </xf>
    <xf numFmtId="0" fontId="54" fillId="31" borderId="9" xfId="0" applyFont="1" applyFill="1" applyBorder="1" applyAlignment="1">
      <alignment horizontal="center"/>
    </xf>
    <xf numFmtId="0" fontId="54" fillId="32" borderId="9" xfId="0" applyFont="1" applyFill="1" applyBorder="1" applyAlignment="1">
      <alignment horizontal="left"/>
    </xf>
    <xf numFmtId="0" fontId="54" fillId="33" borderId="9" xfId="0" applyFont="1" applyFill="1" applyBorder="1" applyAlignment="1">
      <alignment horizontal="left"/>
    </xf>
    <xf numFmtId="0" fontId="54" fillId="34" borderId="9" xfId="0" applyFont="1" applyFill="1" applyBorder="1" applyAlignment="1">
      <alignment horizontal="left"/>
    </xf>
    <xf numFmtId="0" fontId="54" fillId="36" borderId="9" xfId="0" applyFont="1" applyFill="1" applyBorder="1" applyAlignment="1">
      <alignment horizontal="left"/>
    </xf>
    <xf numFmtId="165" fontId="0" fillId="37" borderId="9" xfId="46" applyNumberFormat="1" applyFont="1" applyFill="1" applyBorder="1" applyAlignment="1">
      <alignment horizontal="left"/>
    </xf>
    <xf numFmtId="165" fontId="0" fillId="38" borderId="9" xfId="46" applyNumberFormat="1" applyFont="1" applyFill="1" applyBorder="1" applyAlignment="1">
      <alignment horizontal="left"/>
    </xf>
    <xf numFmtId="0" fontId="0" fillId="39" borderId="9" xfId="46" applyFont="1" applyFill="1" applyBorder="1" applyAlignment="1">
      <alignment horizontal="left"/>
    </xf>
    <xf numFmtId="165" fontId="54" fillId="40" borderId="9" xfId="46" applyNumberFormat="1" applyFont="1" applyFill="1" applyBorder="1" applyAlignment="1">
      <alignment horizontal="left"/>
    </xf>
    <xf numFmtId="0" fontId="54" fillId="42" borderId="9" xfId="0" applyFont="1" applyFill="1" applyBorder="1" applyAlignment="1">
      <alignment horizontal="left"/>
    </xf>
    <xf numFmtId="0" fontId="0" fillId="43" borderId="9" xfId="0" applyFill="1" applyBorder="1" applyAlignment="1">
      <alignment horizontal="left"/>
    </xf>
    <xf numFmtId="0" fontId="0" fillId="44" borderId="9" xfId="0" applyFill="1" applyBorder="1" applyAlignment="1">
      <alignment horizontal="left"/>
    </xf>
    <xf numFmtId="0" fontId="0" fillId="45" borderId="9" xfId="0" applyFill="1" applyBorder="1" applyAlignment="1">
      <alignment horizontal="left"/>
    </xf>
    <xf numFmtId="0" fontId="0" fillId="46" borderId="9" xfId="0" applyFill="1" applyBorder="1" applyAlignment="1">
      <alignment horizontal="left"/>
    </xf>
    <xf numFmtId="0" fontId="54" fillId="49" borderId="9" xfId="0" applyFont="1" applyFill="1" applyBorder="1" applyAlignment="1">
      <alignment horizontal="center"/>
    </xf>
    <xf numFmtId="0" fontId="55" fillId="28" borderId="9" xfId="42" applyFont="1" applyFill="1" applyBorder="1" applyAlignment="1" applyProtection="1">
      <alignment horizontal="center" vertical="center" wrapText="1"/>
    </xf>
    <xf numFmtId="0" fontId="55" fillId="31" borderId="9" xfId="42" applyFont="1" applyFill="1" applyBorder="1" applyAlignment="1" applyProtection="1">
      <alignment horizontal="center" vertical="center" wrapText="1"/>
    </xf>
    <xf numFmtId="0" fontId="55" fillId="35" borderId="9" xfId="42" applyFont="1" applyFill="1" applyBorder="1" applyAlignment="1" applyProtection="1">
      <alignment horizontal="center" vertical="center" wrapText="1"/>
    </xf>
    <xf numFmtId="0" fontId="55" fillId="41" borderId="9" xfId="42" applyFont="1" applyFill="1" applyBorder="1" applyAlignment="1" applyProtection="1">
      <alignment horizontal="center" vertical="center" wrapText="1"/>
    </xf>
    <xf numFmtId="3" fontId="55" fillId="47" borderId="9" xfId="42" applyNumberFormat="1" applyFont="1" applyFill="1" applyBorder="1" applyAlignment="1" applyProtection="1">
      <alignment horizontal="center" vertical="center" wrapText="1"/>
    </xf>
    <xf numFmtId="0" fontId="55" fillId="48" borderId="9" xfId="42" applyFont="1" applyFill="1" applyBorder="1" applyAlignment="1" applyProtection="1">
      <alignment horizontal="center" vertical="center" wrapText="1"/>
    </xf>
    <xf numFmtId="0" fontId="55" fillId="49" borderId="9" xfId="42" applyFont="1" applyFill="1" applyBorder="1" applyAlignment="1" applyProtection="1">
      <alignment horizontal="center" vertical="center" wrapText="1"/>
    </xf>
    <xf numFmtId="0" fontId="59" fillId="23" borderId="0" xfId="0" applyFont="1" applyFill="1" applyBorder="1"/>
    <xf numFmtId="0" fontId="49" fillId="50" borderId="0" xfId="0" applyFont="1" applyFill="1" applyAlignment="1">
      <alignment vertical="center"/>
    </xf>
    <xf numFmtId="3" fontId="0" fillId="26" borderId="9" xfId="0" applyNumberFormat="1" applyFont="1" applyFill="1" applyBorder="1"/>
    <xf numFmtId="3" fontId="0" fillId="26" borderId="10" xfId="0" applyNumberFormat="1" applyFont="1" applyFill="1" applyBorder="1"/>
    <xf numFmtId="9" fontId="5" fillId="26" borderId="10" xfId="0" applyNumberFormat="1" applyFont="1" applyFill="1" applyBorder="1"/>
    <xf numFmtId="9" fontId="0" fillId="26" borderId="10" xfId="0" applyNumberFormat="1" applyFont="1" applyFill="1" applyBorder="1"/>
    <xf numFmtId="9" fontId="0" fillId="26" borderId="9" xfId="0" applyNumberFormat="1" applyFill="1" applyBorder="1"/>
    <xf numFmtId="9" fontId="0" fillId="26" borderId="9" xfId="0" applyNumberFormat="1" applyFont="1" applyFill="1" applyBorder="1"/>
    <xf numFmtId="9" fontId="6" fillId="26" borderId="9" xfId="0" applyNumberFormat="1" applyFont="1" applyFill="1" applyBorder="1"/>
    <xf numFmtId="9" fontId="6" fillId="26" borderId="10" xfId="0" applyNumberFormat="1" applyFont="1" applyFill="1" applyBorder="1"/>
    <xf numFmtId="0" fontId="0" fillId="50" borderId="0" xfId="0" applyFont="1" applyFill="1" applyBorder="1"/>
    <xf numFmtId="0" fontId="54" fillId="50" borderId="9" xfId="0" applyFont="1" applyFill="1" applyBorder="1" applyAlignment="1">
      <alignment horizontal="center"/>
    </xf>
    <xf numFmtId="3" fontId="58" fillId="50" borderId="9" xfId="0" applyNumberFormat="1" applyFont="1" applyFill="1" applyBorder="1" applyAlignment="1">
      <alignment horizontal="center"/>
    </xf>
    <xf numFmtId="0" fontId="54" fillId="50" borderId="9" xfId="0" applyFont="1" applyFill="1" applyBorder="1" applyAlignment="1">
      <alignment horizontal="center"/>
    </xf>
    <xf numFmtId="9" fontId="4" fillId="23" borderId="17" xfId="47" applyFont="1" applyFill="1" applyBorder="1"/>
    <xf numFmtId="3" fontId="0" fillId="26" borderId="9" xfId="0" applyNumberFormat="1" applyFill="1" applyBorder="1"/>
    <xf numFmtId="9" fontId="4" fillId="26" borderId="9" xfId="0" applyNumberFormat="1" applyFont="1" applyFill="1" applyBorder="1"/>
    <xf numFmtId="9" fontId="4" fillId="26" borderId="10" xfId="0" applyNumberFormat="1" applyFont="1" applyFill="1" applyBorder="1"/>
    <xf numFmtId="9" fontId="0" fillId="26" borderId="9" xfId="0" applyNumberFormat="1" applyFont="1" applyFill="1" applyBorder="1" applyAlignment="1"/>
    <xf numFmtId="9" fontId="0" fillId="26" borderId="10" xfId="0" applyNumberFormat="1" applyFont="1" applyFill="1" applyBorder="1" applyAlignment="1"/>
    <xf numFmtId="3" fontId="4" fillId="26" borderId="9" xfId="46" applyNumberFormat="1" applyFont="1" applyFill="1" applyBorder="1"/>
    <xf numFmtId="3" fontId="6" fillId="26" borderId="9" xfId="46" applyNumberFormat="1" applyFont="1" applyFill="1" applyBorder="1"/>
    <xf numFmtId="9" fontId="0" fillId="26" borderId="9" xfId="0" applyNumberFormat="1" applyFont="1" applyFill="1" applyBorder="1" applyAlignment="1">
      <alignment horizontal="right"/>
    </xf>
    <xf numFmtId="9" fontId="0" fillId="26" borderId="10" xfId="0" applyNumberFormat="1" applyFont="1" applyFill="1" applyBorder="1" applyAlignment="1">
      <alignment horizontal="right"/>
    </xf>
    <xf numFmtId="9" fontId="6" fillId="26" borderId="17" xfId="0" applyNumberFormat="1" applyFont="1" applyFill="1" applyBorder="1"/>
    <xf numFmtId="9" fontId="6" fillId="26" borderId="22" xfId="0" applyNumberFormat="1" applyFont="1" applyFill="1" applyBorder="1"/>
    <xf numFmtId="168" fontId="0" fillId="26" borderId="9" xfId="0" applyNumberFormat="1" applyFont="1" applyFill="1" applyBorder="1"/>
    <xf numFmtId="9" fontId="4" fillId="26" borderId="9" xfId="47" applyFont="1" applyFill="1" applyBorder="1"/>
    <xf numFmtId="0" fontId="0" fillId="23" borderId="0" xfId="0" applyFont="1" applyFill="1" applyBorder="1" applyAlignment="1">
      <alignment wrapText="1"/>
    </xf>
    <xf numFmtId="0" fontId="54" fillId="50" borderId="10" xfId="0" applyFont="1" applyFill="1" applyBorder="1" applyAlignment="1">
      <alignment horizontal="center" vertical="center" wrapText="1"/>
    </xf>
    <xf numFmtId="3" fontId="58" fillId="50" borderId="10" xfId="0" applyNumberFormat="1" applyFont="1" applyFill="1" applyBorder="1" applyAlignment="1">
      <alignment horizontal="center" vertical="center" wrapText="1"/>
    </xf>
    <xf numFmtId="0" fontId="54" fillId="50" borderId="9" xfId="0" applyFont="1" applyFill="1" applyBorder="1" applyAlignment="1">
      <alignment horizontal="center" vertical="center" wrapText="1"/>
    </xf>
    <xf numFmtId="3" fontId="58" fillId="50" borderId="20" xfId="0" applyNumberFormat="1" applyFont="1" applyFill="1" applyBorder="1" applyAlignment="1">
      <alignment horizontal="center" vertical="center" wrapText="1"/>
    </xf>
    <xf numFmtId="0" fontId="54" fillId="50" borderId="9" xfId="0" applyFont="1" applyFill="1" applyBorder="1" applyAlignment="1">
      <alignment horizontal="center" vertical="center" wrapText="1"/>
    </xf>
    <xf numFmtId="0" fontId="0" fillId="23" borderId="0" xfId="0" applyFont="1" applyFill="1" applyBorder="1" applyAlignment="1">
      <alignment vertical="center" wrapText="1"/>
    </xf>
    <xf numFmtId="0" fontId="0" fillId="23" borderId="0" xfId="0" applyFont="1" applyFill="1" applyBorder="1" applyAlignment="1">
      <alignment horizontal="center" vertical="center" wrapText="1"/>
    </xf>
    <xf numFmtId="3" fontId="58" fillId="50" borderId="9" xfId="0" applyNumberFormat="1" applyFont="1" applyFill="1" applyBorder="1" applyAlignment="1">
      <alignment horizontal="center" vertical="center" wrapText="1"/>
    </xf>
    <xf numFmtId="0" fontId="0" fillId="26" borderId="32" xfId="0" applyFill="1" applyBorder="1" applyAlignment="1">
      <alignment horizontal="left" vertical="center" wrapText="1"/>
    </xf>
    <xf numFmtId="0" fontId="0" fillId="26" borderId="0" xfId="0" applyFill="1" applyBorder="1" applyAlignment="1">
      <alignment horizontal="left" vertical="center" wrapText="1"/>
    </xf>
    <xf numFmtId="0" fontId="0" fillId="26" borderId="33" xfId="0" applyFill="1" applyBorder="1" applyAlignment="1">
      <alignment horizontal="left" vertical="center" wrapText="1"/>
    </xf>
    <xf numFmtId="0" fontId="0" fillId="51" borderId="9" xfId="0" applyFont="1" applyFill="1" applyBorder="1" applyAlignment="1">
      <alignment horizontal="left"/>
    </xf>
    <xf numFmtId="0" fontId="3" fillId="25" borderId="9" xfId="0" applyFont="1" applyFill="1" applyBorder="1"/>
    <xf numFmtId="11" fontId="0" fillId="25" borderId="9" xfId="0" applyNumberFormat="1" applyFill="1" applyBorder="1"/>
    <xf numFmtId="0" fontId="0" fillId="25" borderId="9" xfId="0" applyFill="1" applyBorder="1"/>
    <xf numFmtId="9" fontId="0" fillId="25" borderId="9" xfId="47" applyFont="1" applyFill="1" applyBorder="1"/>
    <xf numFmtId="14" fontId="0" fillId="25" borderId="9" xfId="0" applyNumberFormat="1" applyFill="1" applyBorder="1"/>
    <xf numFmtId="17" fontId="0" fillId="25" borderId="9" xfId="0" applyNumberFormat="1" applyFill="1" applyBorder="1"/>
    <xf numFmtId="0" fontId="0" fillId="23" borderId="9" xfId="0" applyFont="1" applyFill="1" applyBorder="1" applyAlignment="1">
      <alignment horizontal="left" vertical="center"/>
    </xf>
    <xf numFmtId="0" fontId="0" fillId="26" borderId="9" xfId="0" applyFont="1" applyFill="1" applyBorder="1"/>
    <xf numFmtId="3" fontId="4" fillId="0" borderId="20" xfId="0" applyNumberFormat="1" applyFont="1" applyFill="1" applyBorder="1"/>
    <xf numFmtId="3" fontId="4" fillId="0" borderId="9" xfId="0" applyNumberFormat="1" applyFont="1" applyFill="1" applyBorder="1"/>
    <xf numFmtId="9" fontId="4" fillId="0" borderId="9" xfId="47" applyNumberFormat="1" applyFont="1" applyFill="1" applyBorder="1"/>
    <xf numFmtId="3" fontId="4" fillId="0" borderId="23" xfId="0" applyNumberFormat="1" applyFont="1" applyFill="1" applyBorder="1"/>
    <xf numFmtId="9" fontId="2" fillId="0" borderId="9" xfId="0" applyNumberFormat="1" applyFont="1" applyFill="1" applyBorder="1"/>
    <xf numFmtId="3" fontId="0" fillId="25" borderId="9" xfId="0" applyNumberFormat="1" applyFont="1" applyFill="1" applyBorder="1" applyAlignment="1">
      <alignment horizontal="left"/>
    </xf>
    <xf numFmtId="9" fontId="4" fillId="0" borderId="9" xfId="47" applyFont="1" applyFill="1" applyBorder="1"/>
    <xf numFmtId="0" fontId="3" fillId="26" borderId="9" xfId="0" applyFont="1" applyFill="1" applyBorder="1"/>
    <xf numFmtId="0" fontId="0" fillId="26" borderId="9" xfId="0" applyFill="1" applyBorder="1"/>
    <xf numFmtId="9" fontId="0" fillId="26" borderId="9" xfId="47" applyFont="1" applyFill="1" applyBorder="1"/>
    <xf numFmtId="14" fontId="0" fillId="26" borderId="9" xfId="0" applyNumberFormat="1" applyFill="1" applyBorder="1"/>
    <xf numFmtId="11" fontId="0" fillId="26" borderId="9" xfId="0" applyNumberFormat="1" applyFill="1" applyBorder="1"/>
    <xf numFmtId="17" fontId="0" fillId="26" borderId="9" xfId="0" applyNumberFormat="1" applyFill="1" applyBorder="1"/>
    <xf numFmtId="0" fontId="4" fillId="23" borderId="9" xfId="0" applyNumberFormat="1" applyFont="1" applyFill="1" applyBorder="1" applyAlignment="1">
      <alignment horizontal="right"/>
    </xf>
    <xf numFmtId="165" fontId="4" fillId="26" borderId="9" xfId="0" applyNumberFormat="1" applyFont="1" applyFill="1" applyBorder="1"/>
    <xf numFmtId="168" fontId="0" fillId="23" borderId="9" xfId="0" applyNumberFormat="1" applyFont="1" applyFill="1" applyBorder="1"/>
    <xf numFmtId="0" fontId="2" fillId="23" borderId="20" xfId="0" applyFont="1" applyFill="1" applyBorder="1"/>
    <xf numFmtId="168" fontId="4" fillId="23" borderId="9" xfId="0" applyNumberFormat="1" applyFont="1" applyFill="1" applyBorder="1"/>
    <xf numFmtId="168" fontId="5" fillId="26" borderId="10" xfId="0" applyNumberFormat="1" applyFont="1" applyFill="1" applyBorder="1"/>
    <xf numFmtId="0" fontId="54" fillId="50" borderId="10" xfId="0" applyFont="1" applyFill="1" applyBorder="1" applyAlignment="1">
      <alignment horizontal="center" vertical="center"/>
    </xf>
    <xf numFmtId="0" fontId="0" fillId="0" borderId="0" xfId="0" applyAlignment="1">
      <alignment vertical="center" wrapText="1"/>
    </xf>
    <xf numFmtId="3" fontId="58" fillId="50" borderId="10" xfId="0" applyNumberFormat="1" applyFont="1" applyFill="1" applyBorder="1" applyAlignment="1">
      <alignment horizontal="center" vertical="center"/>
    </xf>
    <xf numFmtId="0" fontId="0" fillId="0" borderId="0" xfId="0" applyFont="1" applyFill="1" applyBorder="1" applyAlignment="1">
      <alignment vertical="center" wrapText="1"/>
    </xf>
    <xf numFmtId="0" fontId="54" fillId="50" borderId="9" xfId="0" applyFont="1" applyFill="1" applyBorder="1" applyAlignment="1">
      <alignment horizontal="center"/>
    </xf>
    <xf numFmtId="0" fontId="61" fillId="23" borderId="0" xfId="0" applyFont="1" applyFill="1" applyBorder="1"/>
    <xf numFmtId="0" fontId="62" fillId="23" borderId="0" xfId="0" applyFont="1" applyFill="1" applyBorder="1" applyAlignment="1">
      <alignment horizontal="left"/>
    </xf>
    <xf numFmtId="0" fontId="63" fillId="23" borderId="0" xfId="0" applyFont="1" applyFill="1" applyBorder="1"/>
    <xf numFmtId="165" fontId="64" fillId="23" borderId="0" xfId="46" applyNumberFormat="1" applyFont="1" applyFill="1" applyBorder="1" applyAlignment="1"/>
    <xf numFmtId="0" fontId="65" fillId="23" borderId="0" xfId="0" applyFont="1" applyFill="1" applyBorder="1"/>
    <xf numFmtId="0" fontId="54" fillId="50" borderId="17" xfId="0" applyFont="1" applyFill="1" applyBorder="1" applyAlignment="1">
      <alignment horizontal="center"/>
    </xf>
    <xf numFmtId="3" fontId="54" fillId="50" borderId="9" xfId="46" applyNumberFormat="1" applyFont="1" applyFill="1" applyBorder="1" applyAlignment="1">
      <alignment horizontal="center"/>
    </xf>
    <xf numFmtId="165" fontId="54" fillId="50" borderId="9" xfId="46" applyNumberFormat="1" applyFont="1" applyFill="1" applyBorder="1" applyAlignment="1">
      <alignment horizontal="center"/>
    </xf>
    <xf numFmtId="165" fontId="58" fillId="50" borderId="9" xfId="46" applyNumberFormat="1" applyFont="1" applyFill="1" applyBorder="1" applyAlignment="1">
      <alignment horizontal="center"/>
    </xf>
    <xf numFmtId="3" fontId="2" fillId="23" borderId="21" xfId="46" applyNumberFormat="1" applyFont="1" applyFill="1" applyBorder="1"/>
    <xf numFmtId="3" fontId="2" fillId="23" borderId="26" xfId="0" applyNumberFormat="1" applyFont="1" applyFill="1" applyBorder="1"/>
    <xf numFmtId="165" fontId="0" fillId="23" borderId="17" xfId="46" applyNumberFormat="1" applyFont="1" applyFill="1" applyBorder="1" applyAlignment="1">
      <alignment horizontal="left"/>
    </xf>
    <xf numFmtId="165" fontId="4" fillId="25" borderId="17" xfId="46" applyNumberFormat="1" applyFont="1" applyFill="1" applyBorder="1" applyAlignment="1">
      <alignment horizontal="left"/>
    </xf>
    <xf numFmtId="168" fontId="0" fillId="23" borderId="20" xfId="0" applyNumberFormat="1" applyFont="1" applyFill="1" applyBorder="1"/>
    <xf numFmtId="165" fontId="2" fillId="23" borderId="9" xfId="46" applyNumberFormat="1" applyFont="1" applyFill="1" applyBorder="1"/>
    <xf numFmtId="0" fontId="2" fillId="23" borderId="9" xfId="0" applyFont="1" applyFill="1" applyBorder="1"/>
    <xf numFmtId="0" fontId="0" fillId="23" borderId="22" xfId="0" applyFont="1" applyFill="1" applyBorder="1"/>
    <xf numFmtId="3" fontId="0" fillId="26" borderId="31" xfId="0" applyNumberFormat="1" applyFont="1" applyFill="1" applyBorder="1"/>
    <xf numFmtId="9" fontId="4" fillId="26" borderId="22" xfId="0" applyNumberFormat="1" applyFont="1" applyFill="1" applyBorder="1"/>
    <xf numFmtId="3" fontId="2" fillId="23" borderId="19" xfId="0" applyNumberFormat="1" applyFont="1" applyFill="1" applyBorder="1"/>
    <xf numFmtId="0" fontId="2" fillId="23" borderId="17" xfId="0" applyFont="1" applyFill="1" applyBorder="1" applyAlignment="1"/>
    <xf numFmtId="0" fontId="2" fillId="23" borderId="19" xfId="0" applyFont="1" applyFill="1" applyBorder="1" applyAlignment="1"/>
    <xf numFmtId="0" fontId="2" fillId="23" borderId="20" xfId="0" applyFont="1" applyFill="1" applyBorder="1" applyAlignment="1"/>
    <xf numFmtId="9" fontId="0" fillId="26" borderId="22" xfId="0" applyNumberFormat="1" applyFont="1" applyFill="1" applyBorder="1" applyAlignment="1"/>
    <xf numFmtId="0" fontId="0" fillId="0" borderId="0" xfId="0" applyFill="1"/>
    <xf numFmtId="0" fontId="54" fillId="52" borderId="9" xfId="0" applyFont="1" applyFill="1" applyBorder="1" applyAlignment="1">
      <alignment horizontal="left"/>
    </xf>
    <xf numFmtId="0" fontId="0" fillId="53" borderId="9" xfId="0" applyFill="1" applyBorder="1" applyAlignment="1">
      <alignment horizontal="left"/>
    </xf>
    <xf numFmtId="0" fontId="0" fillId="54" borderId="9" xfId="0" applyFill="1" applyBorder="1" applyAlignment="1">
      <alignment horizontal="left"/>
    </xf>
    <xf numFmtId="14" fontId="0" fillId="0" borderId="9" xfId="0" applyNumberFormat="1" applyFill="1" applyBorder="1"/>
    <xf numFmtId="0" fontId="54" fillId="55" borderId="9" xfId="0" applyFont="1" applyFill="1" applyBorder="1" applyAlignment="1">
      <alignment horizontal="left"/>
    </xf>
    <xf numFmtId="165" fontId="4" fillId="0" borderId="9" xfId="46" applyNumberFormat="1" applyFont="1" applyFill="1" applyBorder="1"/>
    <xf numFmtId="0" fontId="0" fillId="56" borderId="9" xfId="0" applyFill="1" applyBorder="1" applyAlignment="1">
      <alignment horizontal="left"/>
    </xf>
    <xf numFmtId="0" fontId="0" fillId="57" borderId="9" xfId="0" applyFill="1" applyBorder="1" applyAlignment="1">
      <alignment horizontal="left"/>
    </xf>
    <xf numFmtId="0" fontId="8" fillId="23" borderId="9" xfId="46" applyFont="1" applyFill="1" applyBorder="1"/>
    <xf numFmtId="3" fontId="2" fillId="23" borderId="9" xfId="46" applyNumberFormat="1" applyFont="1" applyFill="1" applyBorder="1"/>
    <xf numFmtId="0" fontId="2" fillId="23" borderId="9" xfId="46" applyFont="1" applyFill="1" applyBorder="1"/>
    <xf numFmtId="0" fontId="13" fillId="0" borderId="9" xfId="42" applyBorder="1" applyAlignment="1" applyProtection="1"/>
    <xf numFmtId="0" fontId="13" fillId="0" borderId="49" xfId="42" applyBorder="1" applyAlignment="1" applyProtection="1"/>
    <xf numFmtId="0" fontId="0" fillId="0" borderId="50" xfId="0" applyBorder="1"/>
    <xf numFmtId="0" fontId="0" fillId="0" borderId="51" xfId="0" applyBorder="1"/>
    <xf numFmtId="0" fontId="54" fillId="50" borderId="9" xfId="46" applyFont="1" applyFill="1" applyBorder="1" applyAlignment="1">
      <alignment horizontal="center"/>
    </xf>
    <xf numFmtId="170" fontId="0" fillId="23" borderId="9" xfId="0" applyNumberFormat="1" applyFont="1" applyFill="1" applyBorder="1"/>
    <xf numFmtId="168" fontId="67" fillId="23" borderId="9" xfId="0" applyNumberFormat="1" applyFont="1" applyFill="1" applyBorder="1"/>
    <xf numFmtId="9" fontId="67" fillId="23" borderId="17" xfId="47" applyFont="1" applyFill="1" applyBorder="1"/>
    <xf numFmtId="3" fontId="67" fillId="23" borderId="17" xfId="0" applyNumberFormat="1" applyFont="1" applyFill="1" applyBorder="1"/>
    <xf numFmtId="4" fontId="67" fillId="23" borderId="17" xfId="0" applyNumberFormat="1" applyFont="1" applyFill="1" applyBorder="1"/>
    <xf numFmtId="3" fontId="67" fillId="0" borderId="9" xfId="0" applyNumberFormat="1" applyFont="1" applyFill="1" applyBorder="1" applyAlignment="1">
      <alignment horizontal="right"/>
    </xf>
    <xf numFmtId="0" fontId="67" fillId="23" borderId="0" xfId="0" applyFont="1" applyFill="1" applyBorder="1"/>
    <xf numFmtId="9" fontId="67" fillId="26" borderId="9" xfId="0" applyNumberFormat="1" applyFont="1" applyFill="1" applyBorder="1"/>
    <xf numFmtId="0" fontId="67" fillId="23" borderId="19" xfId="0" applyFont="1" applyFill="1" applyBorder="1"/>
    <xf numFmtId="3" fontId="68" fillId="23" borderId="20" xfId="0" applyNumberFormat="1" applyFont="1" applyFill="1" applyBorder="1"/>
    <xf numFmtId="0" fontId="67" fillId="23" borderId="17" xfId="0" applyFont="1" applyFill="1" applyBorder="1"/>
    <xf numFmtId="3" fontId="67" fillId="23" borderId="0" xfId="0" applyNumberFormat="1" applyFont="1" applyFill="1" applyBorder="1"/>
    <xf numFmtId="0" fontId="68" fillId="23" borderId="0" xfId="0" applyFont="1" applyFill="1" applyBorder="1"/>
    <xf numFmtId="3" fontId="68" fillId="23" borderId="0" xfId="0" applyNumberFormat="1" applyFont="1" applyFill="1" applyBorder="1"/>
    <xf numFmtId="2" fontId="67" fillId="23" borderId="0" xfId="0" applyNumberFormat="1" applyFont="1" applyFill="1" applyBorder="1"/>
    <xf numFmtId="167" fontId="67" fillId="23" borderId="0" xfId="0" applyNumberFormat="1" applyFont="1" applyFill="1" applyBorder="1"/>
    <xf numFmtId="0" fontId="67" fillId="23" borderId="24" xfId="0" applyFont="1" applyFill="1" applyBorder="1"/>
    <xf numFmtId="0" fontId="67" fillId="23" borderId="0" xfId="0" applyFont="1" applyFill="1"/>
    <xf numFmtId="3" fontId="67" fillId="23" borderId="0" xfId="0" applyNumberFormat="1" applyFont="1" applyFill="1"/>
    <xf numFmtId="9" fontId="67" fillId="23" borderId="0" xfId="47" applyFont="1" applyFill="1"/>
    <xf numFmtId="0" fontId="54" fillId="35" borderId="17" xfId="0" applyFont="1" applyFill="1" applyBorder="1"/>
    <xf numFmtId="0" fontId="54" fillId="35" borderId="9" xfId="0" applyFont="1" applyFill="1" applyBorder="1" applyAlignment="1">
      <alignment horizontal="center"/>
    </xf>
    <xf numFmtId="3" fontId="54" fillId="35" borderId="9" xfId="0" applyNumberFormat="1" applyFont="1" applyFill="1" applyBorder="1" applyAlignment="1">
      <alignment horizontal="center"/>
    </xf>
    <xf numFmtId="0" fontId="2" fillId="23" borderId="24" xfId="0" applyFont="1" applyFill="1" applyBorder="1" applyAlignment="1"/>
    <xf numFmtId="0" fontId="0" fillId="23" borderId="24" xfId="0" applyFill="1" applyBorder="1" applyAlignment="1"/>
    <xf numFmtId="9" fontId="67" fillId="23" borderId="9" xfId="47" applyFont="1" applyFill="1" applyBorder="1"/>
    <xf numFmtId="0" fontId="54" fillId="31" borderId="20" xfId="0" applyFont="1" applyFill="1" applyBorder="1" applyAlignment="1">
      <alignment horizontal="center"/>
    </xf>
    <xf numFmtId="3" fontId="54" fillId="31" borderId="9" xfId="0" applyNumberFormat="1" applyFont="1" applyFill="1" applyBorder="1" applyAlignment="1">
      <alignment horizontal="center"/>
    </xf>
    <xf numFmtId="0" fontId="54" fillId="28" borderId="20" xfId="0" applyFont="1" applyFill="1" applyBorder="1" applyAlignment="1">
      <alignment horizontal="center"/>
    </xf>
    <xf numFmtId="0" fontId="54" fillId="28" borderId="9" xfId="0" applyFont="1" applyFill="1" applyBorder="1" applyAlignment="1">
      <alignment horizontal="center"/>
    </xf>
    <xf numFmtId="3" fontId="54" fillId="28" borderId="9" xfId="0" applyNumberFormat="1" applyFont="1" applyFill="1" applyBorder="1" applyAlignment="1">
      <alignment horizontal="center"/>
    </xf>
    <xf numFmtId="0" fontId="54" fillId="41" borderId="17" xfId="0" applyFont="1" applyFill="1" applyBorder="1" applyAlignment="1">
      <alignment horizontal="center"/>
    </xf>
    <xf numFmtId="0" fontId="54" fillId="41" borderId="9" xfId="0" applyFont="1" applyFill="1" applyBorder="1" applyAlignment="1">
      <alignment horizontal="center"/>
    </xf>
    <xf numFmtId="3" fontId="54" fillId="41" borderId="9" xfId="0" applyNumberFormat="1" applyFont="1" applyFill="1" applyBorder="1" applyAlignment="1">
      <alignment horizontal="center"/>
    </xf>
    <xf numFmtId="0" fontId="54" fillId="50" borderId="9" xfId="0" applyFont="1" applyFill="1" applyBorder="1" applyAlignment="1">
      <alignment horizontal="center" vertical="center"/>
    </xf>
    <xf numFmtId="3" fontId="67" fillId="23" borderId="9" xfId="0" applyNumberFormat="1" applyFont="1" applyFill="1" applyBorder="1"/>
    <xf numFmtId="168" fontId="4" fillId="26" borderId="9" xfId="0" applyNumberFormat="1" applyFont="1" applyFill="1" applyBorder="1"/>
    <xf numFmtId="3" fontId="6" fillId="26" borderId="9" xfId="0" applyNumberFormat="1" applyFont="1" applyFill="1" applyBorder="1"/>
    <xf numFmtId="4" fontId="67" fillId="23" borderId="9" xfId="0" applyNumberFormat="1" applyFont="1" applyFill="1" applyBorder="1"/>
    <xf numFmtId="168" fontId="6" fillId="26" borderId="9" xfId="0" applyNumberFormat="1" applyFont="1" applyFill="1" applyBorder="1"/>
    <xf numFmtId="0" fontId="0" fillId="26" borderId="9" xfId="0" applyFont="1" applyFill="1" applyBorder="1" applyAlignment="1">
      <alignment horizontal="center"/>
    </xf>
    <xf numFmtId="3" fontId="0" fillId="23" borderId="10" xfId="0" applyNumberFormat="1" applyFont="1" applyFill="1" applyBorder="1" applyAlignment="1">
      <alignment horizontal="right"/>
    </xf>
    <xf numFmtId="0" fontId="0" fillId="58" borderId="9" xfId="0" applyFill="1" applyBorder="1" applyAlignment="1">
      <alignment horizontal="left"/>
    </xf>
    <xf numFmtId="175" fontId="0" fillId="26" borderId="9" xfId="0" applyNumberFormat="1" applyFont="1" applyFill="1" applyBorder="1"/>
    <xf numFmtId="3" fontId="58" fillId="50" borderId="20" xfId="0" applyNumberFormat="1" applyFont="1" applyFill="1" applyBorder="1" applyAlignment="1">
      <alignment horizontal="center"/>
    </xf>
    <xf numFmtId="0" fontId="54" fillId="50" borderId="9" xfId="0" applyFont="1" applyFill="1" applyBorder="1" applyAlignment="1">
      <alignment horizontal="left"/>
    </xf>
    <xf numFmtId="0" fontId="54" fillId="50" borderId="9" xfId="0" applyFont="1" applyFill="1" applyBorder="1"/>
    <xf numFmtId="0" fontId="13" fillId="26" borderId="9" xfId="42" applyFill="1" applyBorder="1" applyAlignment="1" applyProtection="1"/>
    <xf numFmtId="17" fontId="0" fillId="0" borderId="9" xfId="0" applyNumberFormat="1" applyFill="1" applyBorder="1"/>
    <xf numFmtId="0" fontId="54" fillId="47" borderId="9" xfId="0" applyFont="1" applyFill="1" applyBorder="1" applyAlignment="1">
      <alignment horizontal="center"/>
    </xf>
    <xf numFmtId="0" fontId="54" fillId="48" borderId="9" xfId="0" applyFont="1" applyFill="1" applyBorder="1" applyAlignment="1">
      <alignment horizontal="center"/>
    </xf>
    <xf numFmtId="3" fontId="54" fillId="50" borderId="20" xfId="0" applyNumberFormat="1" applyFont="1" applyFill="1" applyBorder="1" applyAlignment="1">
      <alignment horizontal="center"/>
    </xf>
    <xf numFmtId="166" fontId="67" fillId="23" borderId="17" xfId="0" applyNumberFormat="1" applyFont="1" applyFill="1" applyBorder="1"/>
    <xf numFmtId="0" fontId="54" fillId="47" borderId="17" xfId="0" applyFont="1" applyFill="1" applyBorder="1"/>
    <xf numFmtId="0" fontId="54" fillId="47" borderId="20" xfId="0" applyFont="1" applyFill="1" applyBorder="1" applyAlignment="1">
      <alignment horizontal="center"/>
    </xf>
    <xf numFmtId="3" fontId="54" fillId="47" borderId="9" xfId="0" applyNumberFormat="1" applyFont="1" applyFill="1" applyBorder="1" applyAlignment="1">
      <alignment horizontal="center"/>
    </xf>
    <xf numFmtId="0" fontId="54" fillId="48" borderId="10" xfId="0" applyFont="1" applyFill="1" applyBorder="1"/>
    <xf numFmtId="3" fontId="54" fillId="48" borderId="9" xfId="0" applyNumberFormat="1" applyFont="1" applyFill="1" applyBorder="1" applyAlignment="1">
      <alignment horizontal="center"/>
    </xf>
    <xf numFmtId="0" fontId="0" fillId="59" borderId="9" xfId="0" applyFill="1" applyBorder="1" applyAlignment="1">
      <alignment horizontal="left"/>
    </xf>
    <xf numFmtId="0" fontId="0" fillId="23" borderId="0" xfId="0" applyFont="1" applyFill="1" applyBorder="1" applyAlignment="1">
      <alignment vertical="center"/>
    </xf>
    <xf numFmtId="0" fontId="54" fillId="50" borderId="17" xfId="0" applyFont="1" applyFill="1" applyBorder="1" applyAlignment="1">
      <alignment horizontal="center" vertical="center"/>
    </xf>
    <xf numFmtId="3" fontId="58" fillId="50" borderId="20" xfId="0" applyNumberFormat="1" applyFont="1" applyFill="1" applyBorder="1" applyAlignment="1">
      <alignment horizontal="center" vertical="center"/>
    </xf>
    <xf numFmtId="0" fontId="67" fillId="23" borderId="0" xfId="0" applyFont="1" applyFill="1" applyBorder="1" applyAlignment="1">
      <alignment vertical="center"/>
    </xf>
    <xf numFmtId="2" fontId="67" fillId="23" borderId="0" xfId="0" applyNumberFormat="1" applyFont="1" applyFill="1" applyBorder="1" applyAlignment="1">
      <alignment vertical="center"/>
    </xf>
    <xf numFmtId="1" fontId="67" fillId="26" borderId="9" xfId="0" applyNumberFormat="1" applyFont="1" applyFill="1" applyBorder="1"/>
    <xf numFmtId="1" fontId="67" fillId="26" borderId="9" xfId="0" applyNumberFormat="1" applyFont="1" applyFill="1" applyBorder="1" applyAlignment="1">
      <alignment wrapText="1"/>
    </xf>
    <xf numFmtId="0" fontId="54" fillId="49" borderId="17" xfId="0" applyFont="1" applyFill="1" applyBorder="1"/>
    <xf numFmtId="0" fontId="54" fillId="49" borderId="20" xfId="0" applyFont="1" applyFill="1" applyBorder="1" applyAlignment="1">
      <alignment horizontal="center"/>
    </xf>
    <xf numFmtId="3" fontId="54" fillId="49" borderId="9" xfId="0" applyNumberFormat="1" applyFont="1" applyFill="1" applyBorder="1" applyAlignment="1">
      <alignment horizontal="center"/>
    </xf>
    <xf numFmtId="0" fontId="58" fillId="28" borderId="13" xfId="0" applyFont="1" applyFill="1" applyBorder="1"/>
    <xf numFmtId="3" fontId="58" fillId="28" borderId="14" xfId="0" applyNumberFormat="1" applyFont="1" applyFill="1" applyBorder="1"/>
    <xf numFmtId="3" fontId="58" fillId="28" borderId="29" xfId="0" applyNumberFormat="1" applyFont="1" applyFill="1" applyBorder="1"/>
    <xf numFmtId="0" fontId="54" fillId="28" borderId="15" xfId="0" applyFont="1" applyFill="1" applyBorder="1"/>
    <xf numFmtId="3" fontId="54" fillId="28" borderId="9" xfId="0" applyNumberFormat="1" applyFont="1" applyFill="1" applyBorder="1"/>
    <xf numFmtId="3" fontId="54" fillId="28" borderId="18" xfId="0" applyNumberFormat="1" applyFont="1" applyFill="1" applyBorder="1"/>
    <xf numFmtId="0" fontId="54" fillId="28" borderId="16" xfId="0" applyFont="1" applyFill="1" applyBorder="1"/>
    <xf numFmtId="3" fontId="54" fillId="28" borderId="11" xfId="0" applyNumberFormat="1" applyFont="1" applyFill="1" applyBorder="1"/>
    <xf numFmtId="3" fontId="54" fillId="28" borderId="12" xfId="0" applyNumberFormat="1" applyFont="1" applyFill="1" applyBorder="1"/>
    <xf numFmtId="0" fontId="58" fillId="31" borderId="13" xfId="0" applyFont="1" applyFill="1" applyBorder="1"/>
    <xf numFmtId="3" fontId="58" fillId="31" borderId="14" xfId="0" applyNumberFormat="1" applyFont="1" applyFill="1" applyBorder="1"/>
    <xf numFmtId="3" fontId="58" fillId="31" borderId="29" xfId="0" applyNumberFormat="1" applyFont="1" applyFill="1" applyBorder="1"/>
    <xf numFmtId="0" fontId="54" fillId="31" borderId="15" xfId="0" applyFont="1" applyFill="1" applyBorder="1"/>
    <xf numFmtId="3" fontId="54" fillId="31" borderId="9" xfId="0" applyNumberFormat="1" applyFont="1" applyFill="1" applyBorder="1"/>
    <xf numFmtId="3" fontId="54" fillId="31" borderId="18" xfId="0" applyNumberFormat="1" applyFont="1" applyFill="1" applyBorder="1"/>
    <xf numFmtId="9" fontId="54" fillId="31" borderId="16" xfId="0" applyNumberFormat="1" applyFont="1" applyFill="1" applyBorder="1"/>
    <xf numFmtId="3" fontId="54" fillId="31" borderId="11" xfId="0" applyNumberFormat="1" applyFont="1" applyFill="1" applyBorder="1"/>
    <xf numFmtId="3" fontId="54" fillId="31" borderId="12" xfId="0" applyNumberFormat="1" applyFont="1" applyFill="1" applyBorder="1"/>
    <xf numFmtId="0" fontId="58" fillId="35" borderId="13" xfId="0" applyFont="1" applyFill="1" applyBorder="1"/>
    <xf numFmtId="3" fontId="58" fillId="35" borderId="14" xfId="0" applyNumberFormat="1" applyFont="1" applyFill="1" applyBorder="1"/>
    <xf numFmtId="3" fontId="58" fillId="35" borderId="29" xfId="0" applyNumberFormat="1" applyFont="1" applyFill="1" applyBorder="1"/>
    <xf numFmtId="0" fontId="54" fillId="35" borderId="15" xfId="0" applyFont="1" applyFill="1" applyBorder="1"/>
    <xf numFmtId="3" fontId="54" fillId="35" borderId="9" xfId="0" applyNumberFormat="1" applyFont="1" applyFill="1" applyBorder="1"/>
    <xf numFmtId="3" fontId="54" fillId="35" borderId="18" xfId="0" applyNumberFormat="1" applyFont="1" applyFill="1" applyBorder="1"/>
    <xf numFmtId="0" fontId="54" fillId="35" borderId="16" xfId="0" applyFont="1" applyFill="1" applyBorder="1"/>
    <xf numFmtId="3" fontId="54" fillId="35" borderId="11" xfId="0" applyNumberFormat="1" applyFont="1" applyFill="1" applyBorder="1"/>
    <xf numFmtId="3" fontId="54" fillId="35" borderId="12" xfId="0" applyNumberFormat="1" applyFont="1" applyFill="1" applyBorder="1"/>
    <xf numFmtId="0" fontId="58" fillId="41" borderId="13" xfId="0" applyFont="1" applyFill="1" applyBorder="1"/>
    <xf numFmtId="3" fontId="58" fillId="41" borderId="14" xfId="0" applyNumberFormat="1" applyFont="1" applyFill="1" applyBorder="1"/>
    <xf numFmtId="3" fontId="58" fillId="41" borderId="29" xfId="0" applyNumberFormat="1" applyFont="1" applyFill="1" applyBorder="1"/>
    <xf numFmtId="0" fontId="54" fillId="41" borderId="15" xfId="0" applyFont="1" applyFill="1" applyBorder="1"/>
    <xf numFmtId="3" fontId="54" fillId="41" borderId="9" xfId="0" applyNumberFormat="1" applyFont="1" applyFill="1" applyBorder="1"/>
    <xf numFmtId="3" fontId="54" fillId="41" borderId="18" xfId="0" applyNumberFormat="1" applyFont="1" applyFill="1" applyBorder="1"/>
    <xf numFmtId="0" fontId="54" fillId="41" borderId="15" xfId="0" applyFont="1" applyFill="1" applyBorder="1" applyAlignment="1"/>
    <xf numFmtId="3" fontId="54" fillId="41" borderId="9" xfId="0" applyNumberFormat="1" applyFont="1" applyFill="1" applyBorder="1" applyAlignment="1"/>
    <xf numFmtId="3" fontId="54" fillId="41" borderId="18" xfId="0" applyNumberFormat="1" applyFont="1" applyFill="1" applyBorder="1" applyAlignment="1"/>
    <xf numFmtId="0" fontId="54" fillId="41" borderId="16" xfId="0" applyFont="1" applyFill="1" applyBorder="1"/>
    <xf numFmtId="3" fontId="54" fillId="41" borderId="11" xfId="0" applyNumberFormat="1" applyFont="1" applyFill="1" applyBorder="1"/>
    <xf numFmtId="3" fontId="54" fillId="41" borderId="12" xfId="0" applyNumberFormat="1" applyFont="1" applyFill="1" applyBorder="1"/>
    <xf numFmtId="0" fontId="58" fillId="47" borderId="13" xfId="0" applyFont="1" applyFill="1" applyBorder="1"/>
    <xf numFmtId="3" fontId="58" fillId="47" borderId="14" xfId="0" applyNumberFormat="1" applyFont="1" applyFill="1" applyBorder="1"/>
    <xf numFmtId="3" fontId="58" fillId="47" borderId="29" xfId="0" applyNumberFormat="1" applyFont="1" applyFill="1" applyBorder="1"/>
    <xf numFmtId="0" fontId="54" fillId="47" borderId="15" xfId="0" applyFont="1" applyFill="1" applyBorder="1"/>
    <xf numFmtId="3" fontId="54" fillId="47" borderId="9" xfId="0" applyNumberFormat="1" applyFont="1" applyFill="1" applyBorder="1"/>
    <xf numFmtId="3" fontId="54" fillId="47" borderId="18" xfId="0" applyNumberFormat="1" applyFont="1" applyFill="1" applyBorder="1"/>
    <xf numFmtId="0" fontId="54" fillId="47" borderId="28" xfId="0" applyFont="1" applyFill="1" applyBorder="1"/>
    <xf numFmtId="0" fontId="54" fillId="47" borderId="16" xfId="0" applyFont="1" applyFill="1" applyBorder="1"/>
    <xf numFmtId="3" fontId="54" fillId="47" borderId="11" xfId="0" applyNumberFormat="1" applyFont="1" applyFill="1" applyBorder="1"/>
    <xf numFmtId="3" fontId="54" fillId="47" borderId="12" xfId="0" applyNumberFormat="1" applyFont="1" applyFill="1" applyBorder="1"/>
    <xf numFmtId="0" fontId="58" fillId="48" borderId="13" xfId="0" applyFont="1" applyFill="1" applyBorder="1"/>
    <xf numFmtId="3" fontId="58" fillId="48" borderId="14" xfId="0" applyNumberFormat="1" applyFont="1" applyFill="1" applyBorder="1"/>
    <xf numFmtId="3" fontId="58" fillId="48" borderId="29" xfId="0" applyNumberFormat="1" applyFont="1" applyFill="1" applyBorder="1"/>
    <xf numFmtId="0" fontId="54" fillId="48" borderId="15" xfId="0" applyFont="1" applyFill="1" applyBorder="1"/>
    <xf numFmtId="3" fontId="54" fillId="48" borderId="9" xfId="0" applyNumberFormat="1" applyFont="1" applyFill="1" applyBorder="1"/>
    <xf numFmtId="3" fontId="54" fillId="48" borderId="18" xfId="0" applyNumberFormat="1" applyFont="1" applyFill="1" applyBorder="1"/>
    <xf numFmtId="0" fontId="58" fillId="49" borderId="13" xfId="0" applyFont="1" applyFill="1" applyBorder="1"/>
    <xf numFmtId="3" fontId="58" fillId="49" borderId="14" xfId="0" applyNumberFormat="1" applyFont="1" applyFill="1" applyBorder="1"/>
    <xf numFmtId="3" fontId="58" fillId="49" borderId="29" xfId="0" applyNumberFormat="1" applyFont="1" applyFill="1" applyBorder="1"/>
    <xf numFmtId="0" fontId="54" fillId="49" borderId="15" xfId="0" applyFont="1" applyFill="1" applyBorder="1"/>
    <xf numFmtId="3" fontId="54" fillId="49" borderId="9" xfId="0" applyNumberFormat="1" applyFont="1" applyFill="1" applyBorder="1"/>
    <xf numFmtId="3" fontId="54" fillId="49" borderId="18" xfId="0" applyNumberFormat="1" applyFont="1" applyFill="1" applyBorder="1"/>
    <xf numFmtId="0" fontId="54" fillId="49" borderId="28" xfId="0" applyFont="1" applyFill="1" applyBorder="1"/>
    <xf numFmtId="3" fontId="54" fillId="49" borderId="10" xfId="0" applyNumberFormat="1" applyFont="1" applyFill="1" applyBorder="1"/>
    <xf numFmtId="3" fontId="54" fillId="49" borderId="30" xfId="0" applyNumberFormat="1" applyFont="1" applyFill="1" applyBorder="1"/>
    <xf numFmtId="0" fontId="54" fillId="49" borderId="16" xfId="0" applyFont="1" applyFill="1" applyBorder="1"/>
    <xf numFmtId="3" fontId="54" fillId="49" borderId="11" xfId="0" applyNumberFormat="1" applyFont="1" applyFill="1" applyBorder="1"/>
    <xf numFmtId="3" fontId="54" fillId="49" borderId="12" xfId="0" applyNumberFormat="1" applyFont="1" applyFill="1" applyBorder="1"/>
    <xf numFmtId="0" fontId="54" fillId="28" borderId="15" xfId="0" applyFont="1" applyFill="1" applyBorder="1" applyAlignment="1">
      <alignment wrapText="1"/>
    </xf>
    <xf numFmtId="3" fontId="54" fillId="28" borderId="9" xfId="0" applyNumberFormat="1" applyFont="1" applyFill="1" applyBorder="1" applyAlignment="1">
      <alignment wrapText="1"/>
    </xf>
    <xf numFmtId="9" fontId="54" fillId="28" borderId="18" xfId="47" applyFont="1" applyFill="1" applyBorder="1" applyAlignment="1">
      <alignment wrapText="1"/>
    </xf>
    <xf numFmtId="3" fontId="54" fillId="28" borderId="9" xfId="47" applyNumberFormat="1" applyFont="1" applyFill="1" applyBorder="1" applyAlignment="1">
      <alignment wrapText="1"/>
    </xf>
    <xf numFmtId="0" fontId="54" fillId="31" borderId="15" xfId="0" applyFont="1" applyFill="1" applyBorder="1" applyAlignment="1">
      <alignment wrapText="1"/>
    </xf>
    <xf numFmtId="3" fontId="54" fillId="31" borderId="9" xfId="0" applyNumberFormat="1" applyFont="1" applyFill="1" applyBorder="1" applyAlignment="1">
      <alignment wrapText="1"/>
    </xf>
    <xf numFmtId="9" fontId="54" fillId="31" borderId="18" xfId="47" applyFont="1" applyFill="1" applyBorder="1" applyAlignment="1">
      <alignment wrapText="1"/>
    </xf>
    <xf numFmtId="3" fontId="54" fillId="31" borderId="9" xfId="47" applyNumberFormat="1" applyFont="1" applyFill="1" applyBorder="1" applyAlignment="1">
      <alignment wrapText="1"/>
    </xf>
    <xf numFmtId="0" fontId="54" fillId="35" borderId="15" xfId="0" applyFont="1" applyFill="1" applyBorder="1" applyAlignment="1">
      <alignment wrapText="1"/>
    </xf>
    <xf numFmtId="3" fontId="54" fillId="35" borderId="9" xfId="0" applyNumberFormat="1" applyFont="1" applyFill="1" applyBorder="1" applyAlignment="1">
      <alignment wrapText="1"/>
    </xf>
    <xf numFmtId="9" fontId="54" fillId="35" borderId="18" xfId="47" applyFont="1" applyFill="1" applyBorder="1" applyAlignment="1">
      <alignment wrapText="1"/>
    </xf>
    <xf numFmtId="3" fontId="54" fillId="35" borderId="9" xfId="47" applyNumberFormat="1" applyFont="1" applyFill="1" applyBorder="1" applyAlignment="1">
      <alignment wrapText="1"/>
    </xf>
    <xf numFmtId="0" fontId="54" fillId="41" borderId="15" xfId="0" applyFont="1" applyFill="1" applyBorder="1" applyAlignment="1">
      <alignment wrapText="1"/>
    </xf>
    <xf numFmtId="3" fontId="54" fillId="41" borderId="9" xfId="0" applyNumberFormat="1" applyFont="1" applyFill="1" applyBorder="1" applyAlignment="1">
      <alignment wrapText="1"/>
    </xf>
    <xf numFmtId="9" fontId="54" fillId="41" borderId="18" xfId="47" applyFont="1" applyFill="1" applyBorder="1" applyAlignment="1">
      <alignment wrapText="1"/>
    </xf>
    <xf numFmtId="3" fontId="54" fillId="41" borderId="9" xfId="47" applyNumberFormat="1" applyFont="1" applyFill="1" applyBorder="1" applyAlignment="1">
      <alignment wrapText="1"/>
    </xf>
    <xf numFmtId="3" fontId="54" fillId="47" borderId="9" xfId="47" applyNumberFormat="1" applyFont="1" applyFill="1" applyBorder="1" applyAlignment="1">
      <alignment wrapText="1"/>
    </xf>
    <xf numFmtId="9" fontId="54" fillId="47" borderId="18" xfId="47" applyFont="1" applyFill="1" applyBorder="1" applyAlignment="1">
      <alignment wrapText="1"/>
    </xf>
    <xf numFmtId="0" fontId="54" fillId="47" borderId="15" xfId="0" applyFont="1" applyFill="1" applyBorder="1" applyAlignment="1">
      <alignment wrapText="1"/>
    </xf>
    <xf numFmtId="3" fontId="54" fillId="47" borderId="9" xfId="0" applyNumberFormat="1" applyFont="1" applyFill="1" applyBorder="1" applyAlignment="1">
      <alignment wrapText="1"/>
    </xf>
    <xf numFmtId="0" fontId="54" fillId="48" borderId="15" xfId="0" applyFont="1" applyFill="1" applyBorder="1" applyAlignment="1">
      <alignment wrapText="1"/>
    </xf>
    <xf numFmtId="3" fontId="54" fillId="48" borderId="9" xfId="0" applyNumberFormat="1" applyFont="1" applyFill="1" applyBorder="1" applyAlignment="1">
      <alignment wrapText="1"/>
    </xf>
    <xf numFmtId="9" fontId="54" fillId="48" borderId="18" xfId="47" applyFont="1" applyFill="1" applyBorder="1" applyAlignment="1">
      <alignment wrapText="1"/>
    </xf>
    <xf numFmtId="3" fontId="54" fillId="48" borderId="9" xfId="47" applyNumberFormat="1" applyFont="1" applyFill="1" applyBorder="1" applyAlignment="1">
      <alignment wrapText="1"/>
    </xf>
    <xf numFmtId="0" fontId="54" fillId="49" borderId="15" xfId="0" applyFont="1" applyFill="1" applyBorder="1" applyAlignment="1">
      <alignment wrapText="1"/>
    </xf>
    <xf numFmtId="3" fontId="54" fillId="49" borderId="9" xfId="0" applyNumberFormat="1" applyFont="1" applyFill="1" applyBorder="1" applyAlignment="1">
      <alignment wrapText="1"/>
    </xf>
    <xf numFmtId="9" fontId="54" fillId="49" borderId="18" xfId="47" applyFont="1" applyFill="1" applyBorder="1" applyAlignment="1">
      <alignment wrapText="1"/>
    </xf>
    <xf numFmtId="3" fontId="54" fillId="49" borderId="9" xfId="47" applyNumberFormat="1" applyFont="1" applyFill="1" applyBorder="1" applyAlignment="1">
      <alignment wrapText="1"/>
    </xf>
    <xf numFmtId="0" fontId="69" fillId="50" borderId="16" xfId="0" applyFont="1" applyFill="1" applyBorder="1" applyAlignment="1">
      <alignment horizontal="center" wrapText="1"/>
    </xf>
    <xf numFmtId="3" fontId="69" fillId="50" borderId="11" xfId="0" applyNumberFormat="1" applyFont="1" applyFill="1" applyBorder="1" applyAlignment="1">
      <alignment wrapText="1"/>
    </xf>
    <xf numFmtId="9" fontId="58" fillId="50" borderId="12" xfId="47" applyFont="1" applyFill="1" applyBorder="1" applyAlignment="1">
      <alignment wrapText="1"/>
    </xf>
    <xf numFmtId="3" fontId="58" fillId="50" borderId="11" xfId="47" applyNumberFormat="1" applyFont="1" applyFill="1" applyBorder="1" applyAlignment="1">
      <alignment wrapText="1"/>
    </xf>
    <xf numFmtId="0" fontId="58" fillId="50" borderId="13" xfId="0" applyFont="1" applyFill="1" applyBorder="1" applyAlignment="1">
      <alignment horizontal="center"/>
    </xf>
    <xf numFmtId="0" fontId="54" fillId="50" borderId="18" xfId="0" applyFont="1" applyFill="1" applyBorder="1" applyAlignment="1">
      <alignment horizontal="center"/>
    </xf>
    <xf numFmtId="3" fontId="58" fillId="28" borderId="52" xfId="0" applyNumberFormat="1" applyFont="1" applyFill="1" applyBorder="1"/>
    <xf numFmtId="3" fontId="54" fillId="28" borderId="17" xfId="0" applyNumberFormat="1" applyFont="1" applyFill="1" applyBorder="1"/>
    <xf numFmtId="3" fontId="54" fillId="28" borderId="53" xfId="0" applyNumberFormat="1" applyFont="1" applyFill="1" applyBorder="1"/>
    <xf numFmtId="3" fontId="58" fillId="31" borderId="52" xfId="0" applyNumberFormat="1" applyFont="1" applyFill="1" applyBorder="1"/>
    <xf numFmtId="3" fontId="54" fillId="31" borderId="17" xfId="0" applyNumberFormat="1" applyFont="1" applyFill="1" applyBorder="1"/>
    <xf numFmtId="3" fontId="54" fillId="31" borderId="53" xfId="0" applyNumberFormat="1" applyFont="1" applyFill="1" applyBorder="1"/>
    <xf numFmtId="3" fontId="58" fillId="35" borderId="52" xfId="0" applyNumberFormat="1" applyFont="1" applyFill="1" applyBorder="1"/>
    <xf numFmtId="3" fontId="54" fillId="35" borderId="17" xfId="0" applyNumberFormat="1" applyFont="1" applyFill="1" applyBorder="1"/>
    <xf numFmtId="3" fontId="54" fillId="35" borderId="53" xfId="0" applyNumberFormat="1" applyFont="1" applyFill="1" applyBorder="1"/>
    <xf numFmtId="3" fontId="58" fillId="41" borderId="52" xfId="0" applyNumberFormat="1" applyFont="1" applyFill="1" applyBorder="1"/>
    <xf numFmtId="3" fontId="54" fillId="41" borderId="17" xfId="0" applyNumberFormat="1" applyFont="1" applyFill="1" applyBorder="1"/>
    <xf numFmtId="3" fontId="54" fillId="41" borderId="17" xfId="0" applyNumberFormat="1" applyFont="1" applyFill="1" applyBorder="1" applyAlignment="1"/>
    <xf numFmtId="3" fontId="54" fillId="41" borderId="53" xfId="0" applyNumberFormat="1" applyFont="1" applyFill="1" applyBorder="1"/>
    <xf numFmtId="3" fontId="58" fillId="47" borderId="52" xfId="0" applyNumberFormat="1" applyFont="1" applyFill="1" applyBorder="1"/>
    <xf numFmtId="3" fontId="54" fillId="47" borderId="17" xfId="0" applyNumberFormat="1" applyFont="1" applyFill="1" applyBorder="1"/>
    <xf numFmtId="3" fontId="54" fillId="47" borderId="53" xfId="0" applyNumberFormat="1" applyFont="1" applyFill="1" applyBorder="1"/>
    <xf numFmtId="3" fontId="58" fillId="48" borderId="52" xfId="0" applyNumberFormat="1" applyFont="1" applyFill="1" applyBorder="1"/>
    <xf numFmtId="3" fontId="54" fillId="48" borderId="17" xfId="0" applyNumberFormat="1" applyFont="1" applyFill="1" applyBorder="1"/>
    <xf numFmtId="3" fontId="58" fillId="49" borderId="52" xfId="0" applyNumberFormat="1" applyFont="1" applyFill="1" applyBorder="1"/>
    <xf numFmtId="3" fontId="54" fillId="49" borderId="17" xfId="0" applyNumberFormat="1" applyFont="1" applyFill="1" applyBorder="1"/>
    <xf numFmtId="3" fontId="54" fillId="49" borderId="22" xfId="0" applyNumberFormat="1" applyFont="1" applyFill="1" applyBorder="1"/>
    <xf numFmtId="3" fontId="54" fillId="49" borderId="53" xfId="0" applyNumberFormat="1" applyFont="1" applyFill="1" applyBorder="1"/>
    <xf numFmtId="0" fontId="2" fillId="0" borderId="0" xfId="0" applyFont="1"/>
    <xf numFmtId="0" fontId="54" fillId="50" borderId="9" xfId="0" applyFont="1" applyFill="1" applyBorder="1" applyAlignment="1">
      <alignment horizontal="center"/>
    </xf>
    <xf numFmtId="0" fontId="0" fillId="0" borderId="0" xfId="0" applyBorder="1" applyAlignment="1"/>
    <xf numFmtId="0" fontId="54" fillId="48" borderId="22" xfId="0" applyFont="1" applyFill="1" applyBorder="1"/>
    <xf numFmtId="0" fontId="54" fillId="48" borderId="23" xfId="0" applyFont="1" applyFill="1" applyBorder="1" applyAlignment="1">
      <alignment horizontal="center"/>
    </xf>
    <xf numFmtId="0" fontId="54" fillId="48" borderId="10" xfId="0" applyFont="1" applyFill="1" applyBorder="1" applyAlignment="1">
      <alignment horizontal="center"/>
    </xf>
    <xf numFmtId="3" fontId="54" fillId="48" borderId="10" xfId="0" applyNumberFormat="1" applyFont="1" applyFill="1" applyBorder="1" applyAlignment="1">
      <alignment horizontal="center"/>
    </xf>
    <xf numFmtId="0" fontId="45" fillId="23" borderId="9" xfId="0" applyFont="1" applyFill="1" applyBorder="1"/>
    <xf numFmtId="0" fontId="54" fillId="48" borderId="0" xfId="0" applyFont="1" applyFill="1" applyBorder="1"/>
    <xf numFmtId="3" fontId="54" fillId="48" borderId="0" xfId="0" applyNumberFormat="1" applyFont="1" applyFill="1" applyBorder="1"/>
    <xf numFmtId="168" fontId="2" fillId="23" borderId="9" xfId="0" applyNumberFormat="1" applyFont="1" applyFill="1" applyBorder="1"/>
    <xf numFmtId="2" fontId="0" fillId="0" borderId="9" xfId="0" applyNumberFormat="1" applyBorder="1"/>
    <xf numFmtId="0" fontId="0" fillId="25" borderId="9" xfId="0" applyFont="1" applyFill="1" applyBorder="1"/>
    <xf numFmtId="0" fontId="51" fillId="26" borderId="0" xfId="0" applyFont="1" applyFill="1" applyBorder="1" applyAlignment="1">
      <alignment horizontal="left" vertical="center" wrapText="1"/>
    </xf>
    <xf numFmtId="0" fontId="66" fillId="50" borderId="44" xfId="0" applyFont="1" applyFill="1" applyBorder="1" applyAlignment="1">
      <alignment horizontal="center" vertical="center" wrapText="1"/>
    </xf>
    <xf numFmtId="0" fontId="66" fillId="50" borderId="45" xfId="0" applyFont="1" applyFill="1" applyBorder="1" applyAlignment="1">
      <alignment horizontal="center" vertical="center" wrapText="1"/>
    </xf>
    <xf numFmtId="0" fontId="66" fillId="50" borderId="46" xfId="0" applyFont="1" applyFill="1" applyBorder="1" applyAlignment="1">
      <alignment horizontal="center" vertical="center" wrapText="1"/>
    </xf>
    <xf numFmtId="0" fontId="66" fillId="50" borderId="47" xfId="0" applyFont="1" applyFill="1" applyBorder="1" applyAlignment="1">
      <alignment horizontal="center" vertical="center" wrapText="1"/>
    </xf>
    <xf numFmtId="0" fontId="66" fillId="50" borderId="0" xfId="0" applyFont="1" applyFill="1" applyBorder="1" applyAlignment="1">
      <alignment horizontal="center" vertical="center" wrapText="1"/>
    </xf>
    <xf numFmtId="0" fontId="66" fillId="50" borderId="48" xfId="0" applyFont="1" applyFill="1" applyBorder="1" applyAlignment="1">
      <alignment horizontal="center" vertical="center" wrapText="1"/>
    </xf>
    <xf numFmtId="0" fontId="2" fillId="23" borderId="24" xfId="0" applyFont="1" applyFill="1" applyBorder="1" applyAlignment="1">
      <alignment horizontal="left"/>
    </xf>
    <xf numFmtId="0" fontId="54" fillId="50" borderId="9" xfId="0" applyFont="1" applyFill="1" applyBorder="1" applyAlignment="1">
      <alignment horizontal="center"/>
    </xf>
    <xf numFmtId="0" fontId="0" fillId="26" borderId="17" xfId="0" applyFill="1" applyBorder="1" applyAlignment="1">
      <alignment horizontal="center" vertical="center" wrapText="1"/>
    </xf>
    <xf numFmtId="0" fontId="0" fillId="26" borderId="19" xfId="0" applyFill="1" applyBorder="1" applyAlignment="1">
      <alignment horizontal="center" vertical="center" wrapText="1"/>
    </xf>
    <xf numFmtId="0" fontId="0" fillId="26" borderId="20" xfId="0" applyFill="1" applyBorder="1" applyAlignment="1">
      <alignment horizontal="center" vertical="center" wrapText="1"/>
    </xf>
    <xf numFmtId="0" fontId="60" fillId="50" borderId="32" xfId="42" applyFont="1" applyFill="1" applyBorder="1" applyAlignment="1" applyProtection="1">
      <alignment horizontal="center" vertical="center" wrapText="1"/>
    </xf>
    <xf numFmtId="0" fontId="60" fillId="50" borderId="0" xfId="42" applyFont="1" applyFill="1" applyBorder="1" applyAlignment="1" applyProtection="1">
      <alignment horizontal="center" vertical="center" wrapText="1"/>
    </xf>
    <xf numFmtId="0" fontId="54" fillId="50" borderId="10" xfId="0" applyFont="1" applyFill="1" applyBorder="1" applyAlignment="1">
      <alignment horizontal="center" vertical="center"/>
    </xf>
    <xf numFmtId="0" fontId="54" fillId="50" borderId="25" xfId="0" applyFont="1" applyFill="1" applyBorder="1" applyAlignment="1">
      <alignment horizontal="center" vertical="center"/>
    </xf>
    <xf numFmtId="0" fontId="54" fillId="50" borderId="26" xfId="0" applyFont="1" applyFill="1" applyBorder="1" applyAlignment="1">
      <alignment horizontal="center" vertical="center"/>
    </xf>
    <xf numFmtId="0" fontId="54" fillId="50" borderId="10" xfId="0" applyFont="1" applyFill="1" applyBorder="1" applyAlignment="1">
      <alignment horizontal="center" vertical="center" wrapText="1"/>
    </xf>
    <xf numFmtId="0" fontId="54" fillId="50" borderId="25" xfId="0" applyFont="1" applyFill="1" applyBorder="1" applyAlignment="1">
      <alignment horizontal="center" vertical="center" wrapText="1"/>
    </xf>
    <xf numFmtId="0" fontId="54" fillId="50" borderId="26" xfId="0" applyFont="1" applyFill="1" applyBorder="1" applyAlignment="1">
      <alignment horizontal="center" vertical="center" wrapText="1"/>
    </xf>
    <xf numFmtId="3" fontId="58" fillId="50" borderId="9" xfId="0" applyNumberFormat="1" applyFont="1" applyFill="1" applyBorder="1" applyAlignment="1">
      <alignment horizontal="center" vertical="center" wrapText="1"/>
    </xf>
    <xf numFmtId="3" fontId="58" fillId="50" borderId="10" xfId="0" applyNumberFormat="1" applyFont="1" applyFill="1" applyBorder="1" applyAlignment="1">
      <alignment horizontal="center" vertical="center" wrapText="1"/>
    </xf>
    <xf numFmtId="3" fontId="58" fillId="50" borderId="25" xfId="0" applyNumberFormat="1" applyFont="1" applyFill="1" applyBorder="1" applyAlignment="1">
      <alignment horizontal="center" vertical="center" wrapText="1"/>
    </xf>
    <xf numFmtId="3" fontId="58" fillId="50" borderId="26" xfId="0" applyNumberFormat="1" applyFont="1" applyFill="1" applyBorder="1" applyAlignment="1">
      <alignment horizontal="center" vertical="center" wrapText="1"/>
    </xf>
    <xf numFmtId="0" fontId="4" fillId="23" borderId="17" xfId="0" applyFont="1" applyFill="1" applyBorder="1" applyAlignment="1"/>
    <xf numFmtId="0" fontId="0" fillId="0" borderId="19" xfId="0" applyBorder="1" applyAlignment="1"/>
    <xf numFmtId="0" fontId="2" fillId="23" borderId="0" xfId="0" applyFont="1" applyFill="1" applyBorder="1" applyAlignment="1">
      <alignment horizontal="left"/>
    </xf>
    <xf numFmtId="0" fontId="0" fillId="23" borderId="0" xfId="0" applyFill="1" applyAlignment="1"/>
    <xf numFmtId="0" fontId="65" fillId="23" borderId="0" xfId="0" applyFont="1" applyFill="1" applyBorder="1" applyAlignment="1">
      <alignment horizontal="center"/>
    </xf>
    <xf numFmtId="0" fontId="56" fillId="35" borderId="0" xfId="0" applyFont="1" applyFill="1" applyBorder="1" applyAlignment="1">
      <alignment horizontal="center"/>
    </xf>
    <xf numFmtId="0" fontId="57" fillId="35" borderId="0" xfId="0" applyFont="1" applyFill="1" applyBorder="1" applyAlignment="1"/>
    <xf numFmtId="165" fontId="54" fillId="50" borderId="9" xfId="46" applyNumberFormat="1" applyFont="1" applyFill="1" applyBorder="1" applyAlignment="1">
      <alignment horizontal="center"/>
    </xf>
    <xf numFmtId="0" fontId="58" fillId="50" borderId="9" xfId="0" applyFont="1" applyFill="1" applyBorder="1" applyAlignment="1">
      <alignment horizontal="center"/>
    </xf>
    <xf numFmtId="0" fontId="56" fillId="50" borderId="0" xfId="0" applyFont="1" applyFill="1" applyBorder="1" applyAlignment="1">
      <alignment horizontal="center"/>
    </xf>
    <xf numFmtId="0" fontId="7" fillId="23" borderId="0" xfId="0" applyFont="1" applyFill="1" applyBorder="1" applyAlignment="1">
      <alignment horizontal="center"/>
    </xf>
    <xf numFmtId="0" fontId="39" fillId="23" borderId="0" xfId="0" applyFont="1" applyFill="1" applyBorder="1" applyAlignment="1">
      <alignment horizontal="center"/>
    </xf>
    <xf numFmtId="0" fontId="56" fillId="28" borderId="0" xfId="0" applyFont="1" applyFill="1" applyBorder="1" applyAlignment="1">
      <alignment horizontal="center"/>
    </xf>
    <xf numFmtId="0" fontId="2" fillId="0" borderId="9" xfId="0" applyFont="1" applyFill="1" applyBorder="1" applyAlignment="1">
      <alignment horizontal="center"/>
    </xf>
    <xf numFmtId="0" fontId="58" fillId="50" borderId="9" xfId="0" applyFont="1" applyFill="1" applyBorder="1" applyAlignment="1">
      <alignment horizontal="center" vertical="center" wrapText="1"/>
    </xf>
    <xf numFmtId="0" fontId="58" fillId="50" borderId="17" xfId="0" applyFont="1" applyFill="1" applyBorder="1" applyAlignment="1">
      <alignment horizontal="center"/>
    </xf>
    <xf numFmtId="0" fontId="58" fillId="50" borderId="19" xfId="0" applyFont="1" applyFill="1" applyBorder="1" applyAlignment="1">
      <alignment horizontal="center"/>
    </xf>
    <xf numFmtId="0" fontId="58" fillId="50" borderId="20" xfId="0" applyFont="1" applyFill="1" applyBorder="1" applyAlignment="1">
      <alignment horizontal="center"/>
    </xf>
    <xf numFmtId="0" fontId="2" fillId="23" borderId="0" xfId="0" applyFont="1" applyFill="1" applyBorder="1" applyAlignment="1"/>
    <xf numFmtId="0" fontId="54" fillId="50" borderId="9" xfId="0" applyFont="1" applyFill="1" applyBorder="1" applyAlignment="1">
      <alignment horizontal="center" vertical="center" wrapText="1"/>
    </xf>
    <xf numFmtId="0" fontId="54" fillId="50" borderId="17" xfId="0" applyFont="1" applyFill="1" applyBorder="1" applyAlignment="1">
      <alignment horizontal="center" vertical="center" wrapText="1"/>
    </xf>
    <xf numFmtId="0" fontId="54" fillId="50" borderId="19" xfId="0" applyFont="1" applyFill="1" applyBorder="1" applyAlignment="1">
      <alignment horizontal="center" vertical="center" wrapText="1"/>
    </xf>
    <xf numFmtId="0" fontId="54" fillId="50" borderId="20" xfId="0" applyFont="1" applyFill="1" applyBorder="1" applyAlignment="1">
      <alignment horizontal="center" vertical="center" wrapText="1"/>
    </xf>
    <xf numFmtId="0" fontId="0" fillId="23" borderId="9" xfId="0" applyFont="1" applyFill="1" applyBorder="1" applyAlignment="1">
      <alignment horizontal="center"/>
    </xf>
    <xf numFmtId="0" fontId="0" fillId="0" borderId="9" xfId="0" applyFont="1" applyFill="1" applyBorder="1" applyAlignment="1">
      <alignment horizontal="center"/>
    </xf>
    <xf numFmtId="0" fontId="0" fillId="23" borderId="17" xfId="0" applyFont="1" applyFill="1" applyBorder="1" applyAlignment="1">
      <alignment horizontal="center"/>
    </xf>
    <xf numFmtId="0" fontId="0" fillId="23" borderId="19" xfId="0" applyFont="1" applyFill="1" applyBorder="1" applyAlignment="1">
      <alignment horizontal="center"/>
    </xf>
    <xf numFmtId="0" fontId="0" fillId="23" borderId="20" xfId="0" applyFont="1" applyFill="1" applyBorder="1" applyAlignment="1">
      <alignment horizontal="center"/>
    </xf>
    <xf numFmtId="0" fontId="0" fillId="26" borderId="22" xfId="0" applyFont="1" applyFill="1" applyBorder="1" applyAlignment="1">
      <alignment horizontal="left" vertical="center" wrapText="1"/>
    </xf>
    <xf numFmtId="0" fontId="4" fillId="26" borderId="31" xfId="0" applyFont="1" applyFill="1" applyBorder="1" applyAlignment="1">
      <alignment horizontal="left" vertical="center" wrapText="1"/>
    </xf>
    <xf numFmtId="0" fontId="4" fillId="26" borderId="23" xfId="0" applyFont="1" applyFill="1" applyBorder="1" applyAlignment="1">
      <alignment horizontal="left" vertical="center" wrapText="1"/>
    </xf>
    <xf numFmtId="0" fontId="4" fillId="26" borderId="32" xfId="0" applyFont="1" applyFill="1" applyBorder="1" applyAlignment="1">
      <alignment horizontal="left" vertical="center" wrapText="1"/>
    </xf>
    <xf numFmtId="0" fontId="4" fillId="26" borderId="0" xfId="0" applyFont="1" applyFill="1" applyBorder="1" applyAlignment="1">
      <alignment horizontal="left" vertical="center" wrapText="1"/>
    </xf>
    <xf numFmtId="0" fontId="4" fillId="26" borderId="33" xfId="0" applyFont="1" applyFill="1" applyBorder="1" applyAlignment="1">
      <alignment horizontal="left" vertical="center" wrapText="1"/>
    </xf>
    <xf numFmtId="0" fontId="4" fillId="26" borderId="27" xfId="0" applyFont="1" applyFill="1" applyBorder="1" applyAlignment="1">
      <alignment horizontal="left" vertical="center" wrapText="1"/>
    </xf>
    <xf numFmtId="0" fontId="4" fillId="26" borderId="24" xfId="0" applyFont="1" applyFill="1" applyBorder="1" applyAlignment="1">
      <alignment horizontal="left" vertical="center" wrapText="1"/>
    </xf>
    <xf numFmtId="0" fontId="4" fillId="26" borderId="21" xfId="0" applyFont="1" applyFill="1" applyBorder="1" applyAlignment="1">
      <alignment horizontal="left" vertical="center" wrapText="1"/>
    </xf>
    <xf numFmtId="0" fontId="54" fillId="50" borderId="9" xfId="0" applyFont="1" applyFill="1" applyBorder="1" applyAlignment="1">
      <alignment horizontal="center" vertical="center"/>
    </xf>
    <xf numFmtId="0" fontId="68" fillId="23" borderId="0" xfId="0" applyFont="1" applyFill="1" applyBorder="1" applyAlignment="1">
      <alignment horizontal="left"/>
    </xf>
    <xf numFmtId="0" fontId="54" fillId="50" borderId="17" xfId="0" applyFont="1" applyFill="1" applyBorder="1" applyAlignment="1">
      <alignment horizontal="center"/>
    </xf>
    <xf numFmtId="0" fontId="54" fillId="50" borderId="19" xfId="0" applyFont="1" applyFill="1" applyBorder="1" applyAlignment="1">
      <alignment horizontal="center"/>
    </xf>
    <xf numFmtId="0" fontId="54" fillId="50" borderId="20" xfId="0" applyFont="1" applyFill="1" applyBorder="1" applyAlignment="1">
      <alignment horizontal="center"/>
    </xf>
    <xf numFmtId="0" fontId="0" fillId="26" borderId="22" xfId="0" applyFill="1" applyBorder="1" applyAlignment="1">
      <alignment horizontal="left" vertical="center" wrapText="1"/>
    </xf>
    <xf numFmtId="0" fontId="0" fillId="26" borderId="31" xfId="0" applyFill="1" applyBorder="1" applyAlignment="1">
      <alignment horizontal="left" vertical="center" wrapText="1"/>
    </xf>
    <xf numFmtId="0" fontId="0" fillId="26" borderId="23" xfId="0" applyFill="1" applyBorder="1" applyAlignment="1">
      <alignment horizontal="left" vertical="center" wrapText="1"/>
    </xf>
    <xf numFmtId="0" fontId="0" fillId="26" borderId="32" xfId="0" applyFill="1" applyBorder="1" applyAlignment="1">
      <alignment horizontal="left" vertical="center" wrapText="1"/>
    </xf>
    <xf numFmtId="0" fontId="0" fillId="26" borderId="0" xfId="0" applyFill="1" applyBorder="1" applyAlignment="1">
      <alignment horizontal="left" vertical="center" wrapText="1"/>
    </xf>
    <xf numFmtId="0" fontId="0" fillId="26" borderId="33" xfId="0" applyFill="1" applyBorder="1" applyAlignment="1">
      <alignment horizontal="left" vertical="center" wrapText="1"/>
    </xf>
    <xf numFmtId="0" fontId="0" fillId="26" borderId="27" xfId="0" applyFill="1" applyBorder="1" applyAlignment="1">
      <alignment horizontal="left" vertical="center" wrapText="1"/>
    </xf>
    <xf numFmtId="0" fontId="0" fillId="26" borderId="24" xfId="0" applyFill="1" applyBorder="1" applyAlignment="1">
      <alignment horizontal="left" vertical="center" wrapText="1"/>
    </xf>
    <xf numFmtId="0" fontId="0" fillId="26" borderId="21" xfId="0" applyFill="1" applyBorder="1" applyAlignment="1">
      <alignment horizontal="left" vertical="center" wrapText="1"/>
    </xf>
    <xf numFmtId="0" fontId="2" fillId="23" borderId="9" xfId="0" applyFont="1" applyFill="1" applyBorder="1" applyAlignment="1">
      <alignment horizontal="center"/>
    </xf>
    <xf numFmtId="0" fontId="0" fillId="50" borderId="10" xfId="0" applyFont="1" applyFill="1" applyBorder="1" applyAlignment="1">
      <alignment horizontal="center"/>
    </xf>
    <xf numFmtId="0" fontId="0" fillId="50" borderId="25" xfId="0" applyFont="1" applyFill="1" applyBorder="1" applyAlignment="1">
      <alignment horizontal="center"/>
    </xf>
    <xf numFmtId="0" fontId="0" fillId="50" borderId="26" xfId="0" applyFont="1" applyFill="1" applyBorder="1" applyAlignment="1">
      <alignment horizontal="center"/>
    </xf>
    <xf numFmtId="0" fontId="58" fillId="50" borderId="27" xfId="0" applyFont="1" applyFill="1" applyBorder="1" applyAlignment="1">
      <alignment horizontal="center"/>
    </xf>
    <xf numFmtId="0" fontId="58" fillId="50" borderId="24" xfId="0" applyFont="1" applyFill="1" applyBorder="1" applyAlignment="1">
      <alignment horizontal="center"/>
    </xf>
    <xf numFmtId="0" fontId="56" fillId="41" borderId="0" xfId="0" applyFont="1" applyFill="1" applyBorder="1" applyAlignment="1">
      <alignment horizontal="center"/>
    </xf>
    <xf numFmtId="0" fontId="58" fillId="50" borderId="9" xfId="46" applyFont="1" applyFill="1" applyBorder="1" applyAlignment="1">
      <alignment horizontal="center"/>
    </xf>
    <xf numFmtId="0" fontId="4" fillId="23" borderId="19" xfId="0" applyFont="1" applyFill="1" applyBorder="1" applyAlignment="1"/>
    <xf numFmtId="0" fontId="57" fillId="50" borderId="0" xfId="0" applyFont="1" applyFill="1" applyBorder="1" applyAlignment="1"/>
    <xf numFmtId="0" fontId="64" fillId="23" borderId="0" xfId="0" applyFont="1" applyFill="1" applyBorder="1" applyAlignment="1">
      <alignment horizontal="center"/>
    </xf>
    <xf numFmtId="0" fontId="67" fillId="23" borderId="17" xfId="0" applyFont="1" applyFill="1" applyBorder="1" applyAlignment="1"/>
    <xf numFmtId="0" fontId="67" fillId="0" borderId="19" xfId="0" applyFont="1" applyBorder="1" applyAlignment="1"/>
    <xf numFmtId="0" fontId="56" fillId="49" borderId="0" xfId="0" applyFont="1" applyFill="1" applyBorder="1" applyAlignment="1">
      <alignment horizontal="center"/>
    </xf>
    <xf numFmtId="0" fontId="57" fillId="49" borderId="0" xfId="0" applyFont="1" applyFill="1" applyBorder="1" applyAlignment="1"/>
    <xf numFmtId="0" fontId="62" fillId="23" borderId="0" xfId="0" applyFont="1" applyFill="1" applyBorder="1" applyAlignment="1">
      <alignment horizontal="center"/>
    </xf>
    <xf numFmtId="0" fontId="61" fillId="23" borderId="0" xfId="0" applyFont="1" applyFill="1" applyBorder="1" applyAlignment="1">
      <alignment horizontal="center"/>
    </xf>
    <xf numFmtId="0" fontId="2" fillId="23" borderId="0" xfId="0" applyFont="1" applyFill="1" applyAlignment="1"/>
    <xf numFmtId="0" fontId="4" fillId="23" borderId="9" xfId="0" applyFont="1" applyFill="1" applyBorder="1" applyAlignment="1"/>
    <xf numFmtId="0" fontId="0" fillId="0" borderId="9" xfId="0" applyBorder="1" applyAlignment="1"/>
    <xf numFmtId="0" fontId="56" fillId="48" borderId="0" xfId="0" applyFont="1" applyFill="1" applyBorder="1" applyAlignment="1">
      <alignment horizontal="center"/>
    </xf>
    <xf numFmtId="0" fontId="57" fillId="48" borderId="0" xfId="0" applyFont="1" applyFill="1" applyBorder="1" applyAlignment="1"/>
    <xf numFmtId="0" fontId="54" fillId="50" borderId="9" xfId="46" applyFont="1" applyFill="1" applyBorder="1" applyAlignment="1">
      <alignment horizontal="center"/>
    </xf>
    <xf numFmtId="0" fontId="63" fillId="23" borderId="0" xfId="0" applyFont="1" applyFill="1" applyBorder="1" applyAlignment="1">
      <alignment horizontal="center"/>
    </xf>
    <xf numFmtId="0" fontId="56" fillId="47" borderId="0" xfId="0" applyFont="1" applyFill="1" applyBorder="1" applyAlignment="1">
      <alignment horizontal="center"/>
    </xf>
    <xf numFmtId="0" fontId="57" fillId="47" borderId="0" xfId="0" applyFont="1" applyFill="1" applyBorder="1" applyAlignment="1"/>
    <xf numFmtId="0" fontId="0" fillId="26" borderId="31" xfId="0" applyFont="1" applyFill="1" applyBorder="1" applyAlignment="1">
      <alignment horizontal="left" vertical="center" wrapText="1"/>
    </xf>
    <xf numFmtId="0" fontId="0" fillId="26" borderId="23" xfId="0" applyFont="1" applyFill="1" applyBorder="1" applyAlignment="1">
      <alignment horizontal="left" vertical="center" wrapText="1"/>
    </xf>
    <xf numFmtId="0" fontId="0" fillId="26" borderId="32" xfId="0" applyFont="1" applyFill="1" applyBorder="1" applyAlignment="1">
      <alignment horizontal="left" vertical="center" wrapText="1"/>
    </xf>
    <xf numFmtId="0" fontId="0" fillId="26" borderId="0" xfId="0" applyFont="1" applyFill="1" applyBorder="1" applyAlignment="1">
      <alignment horizontal="left" vertical="center" wrapText="1"/>
    </xf>
    <xf numFmtId="0" fontId="0" fillId="26" borderId="33" xfId="0" applyFont="1" applyFill="1" applyBorder="1" applyAlignment="1">
      <alignment horizontal="left" vertical="center" wrapText="1"/>
    </xf>
    <xf numFmtId="0" fontId="0" fillId="26" borderId="27" xfId="0" applyFont="1" applyFill="1" applyBorder="1" applyAlignment="1">
      <alignment horizontal="left" vertical="center" wrapText="1"/>
    </xf>
    <xf numFmtId="0" fontId="0" fillId="26" borderId="24" xfId="0" applyFont="1" applyFill="1" applyBorder="1" applyAlignment="1">
      <alignment horizontal="left" vertical="center" wrapText="1"/>
    </xf>
    <xf numFmtId="0" fontId="0" fillId="26" borderId="21" xfId="0" applyFont="1" applyFill="1" applyBorder="1" applyAlignment="1">
      <alignment horizontal="left" vertical="center" wrapText="1"/>
    </xf>
    <xf numFmtId="165" fontId="54" fillId="50" borderId="10" xfId="46" applyNumberFormat="1" applyFont="1" applyFill="1" applyBorder="1" applyAlignment="1">
      <alignment horizontal="center" vertical="center"/>
    </xf>
    <xf numFmtId="165" fontId="54" fillId="50" borderId="26" xfId="46" applyNumberFormat="1" applyFont="1" applyFill="1" applyBorder="1" applyAlignment="1">
      <alignment horizontal="center" vertical="center"/>
    </xf>
    <xf numFmtId="3" fontId="54" fillId="50" borderId="10" xfId="46" applyNumberFormat="1" applyFont="1" applyFill="1" applyBorder="1" applyAlignment="1">
      <alignment horizontal="center" wrapText="1"/>
    </xf>
    <xf numFmtId="3" fontId="54" fillId="50" borderId="26" xfId="46" applyNumberFormat="1" applyFont="1" applyFill="1" applyBorder="1" applyAlignment="1">
      <alignment horizontal="center" wrapText="1"/>
    </xf>
    <xf numFmtId="3" fontId="54" fillId="50" borderId="10" xfId="0" applyNumberFormat="1" applyFont="1" applyFill="1" applyBorder="1" applyAlignment="1">
      <alignment horizontal="center" vertical="center" wrapText="1"/>
    </xf>
    <xf numFmtId="3" fontId="54" fillId="50" borderId="26" xfId="0" applyNumberFormat="1" applyFont="1" applyFill="1" applyBorder="1" applyAlignment="1">
      <alignment horizontal="center" vertical="center" wrapText="1"/>
    </xf>
    <xf numFmtId="0" fontId="54" fillId="50" borderId="10" xfId="46" applyFont="1" applyFill="1" applyBorder="1" applyAlignment="1">
      <alignment horizontal="center" vertical="center"/>
    </xf>
    <xf numFmtId="0" fontId="54" fillId="50" borderId="26" xfId="46" applyFont="1" applyFill="1" applyBorder="1" applyAlignment="1">
      <alignment horizontal="center" vertical="center"/>
    </xf>
    <xf numFmtId="3" fontId="54" fillId="50" borderId="10" xfId="46" applyNumberFormat="1" applyFont="1" applyFill="1" applyBorder="1" applyAlignment="1">
      <alignment horizontal="center" vertical="center"/>
    </xf>
    <xf numFmtId="3" fontId="54" fillId="50" borderId="26" xfId="46" applyNumberFormat="1" applyFont="1" applyFill="1" applyBorder="1" applyAlignment="1">
      <alignment horizontal="center" vertical="center"/>
    </xf>
    <xf numFmtId="3" fontId="54" fillId="50" borderId="10" xfId="46" applyNumberFormat="1" applyFont="1" applyFill="1" applyBorder="1" applyAlignment="1">
      <alignment horizontal="center" vertical="center" wrapText="1"/>
    </xf>
    <xf numFmtId="3" fontId="54" fillId="50" borderId="26" xfId="46" applyNumberFormat="1" applyFont="1" applyFill="1" applyBorder="1" applyAlignment="1">
      <alignment horizontal="center" vertical="center" wrapText="1"/>
    </xf>
    <xf numFmtId="3" fontId="54" fillId="50" borderId="10" xfId="0" applyNumberFormat="1" applyFont="1" applyFill="1" applyBorder="1" applyAlignment="1">
      <alignment horizontal="center" wrapText="1"/>
    </xf>
    <xf numFmtId="3" fontId="54" fillId="50" borderId="26" xfId="0" applyNumberFormat="1" applyFont="1" applyFill="1" applyBorder="1" applyAlignment="1">
      <alignment horizontal="center" wrapText="1"/>
    </xf>
    <xf numFmtId="0" fontId="54" fillId="31" borderId="22" xfId="0" applyFont="1" applyFill="1" applyBorder="1" applyAlignment="1">
      <alignment horizontal="center"/>
    </xf>
    <xf numFmtId="0" fontId="54" fillId="31" borderId="23" xfId="0" applyFont="1" applyFill="1" applyBorder="1" applyAlignment="1">
      <alignment horizontal="center"/>
    </xf>
    <xf numFmtId="0" fontId="54" fillId="28" borderId="22" xfId="0" applyFont="1" applyFill="1" applyBorder="1" applyAlignment="1">
      <alignment horizontal="left"/>
    </xf>
    <xf numFmtId="0" fontId="54" fillId="28" borderId="23" xfId="0" applyFont="1" applyFill="1" applyBorder="1" applyAlignment="1">
      <alignment horizontal="left"/>
    </xf>
    <xf numFmtId="0" fontId="45" fillId="23" borderId="9" xfId="0" applyFont="1" applyFill="1" applyBorder="1" applyAlignment="1">
      <alignment horizontal="left"/>
    </xf>
    <xf numFmtId="0" fontId="4" fillId="23" borderId="9" xfId="0" applyFont="1" applyFill="1" applyBorder="1" applyAlignment="1">
      <alignment horizontal="left"/>
    </xf>
    <xf numFmtId="0" fontId="54" fillId="50" borderId="17" xfId="46" applyFont="1" applyFill="1" applyBorder="1" applyAlignment="1">
      <alignment horizontal="center" vertical="center"/>
    </xf>
    <xf numFmtId="0" fontId="54" fillId="50" borderId="20" xfId="46" applyFont="1" applyFill="1" applyBorder="1" applyAlignment="1">
      <alignment horizontal="center" vertical="center"/>
    </xf>
    <xf numFmtId="0" fontId="58" fillId="50" borderId="17" xfId="46" applyFont="1" applyFill="1" applyBorder="1" applyAlignment="1">
      <alignment horizontal="center"/>
    </xf>
    <xf numFmtId="0" fontId="58" fillId="50" borderId="19" xfId="46" applyFont="1" applyFill="1" applyBorder="1" applyAlignment="1">
      <alignment horizontal="center"/>
    </xf>
    <xf numFmtId="0" fontId="58" fillId="50" borderId="20" xfId="46" applyFont="1" applyFill="1" applyBorder="1" applyAlignment="1">
      <alignment horizontal="center"/>
    </xf>
    <xf numFmtId="3" fontId="54" fillId="50" borderId="9" xfId="0" applyNumberFormat="1" applyFont="1" applyFill="1" applyBorder="1" applyAlignment="1">
      <alignment horizontal="center" vertical="center" wrapText="1"/>
    </xf>
    <xf numFmtId="0" fontId="54" fillId="50" borderId="27" xfId="0" applyFont="1" applyFill="1" applyBorder="1" applyAlignment="1">
      <alignment horizontal="center" vertical="center"/>
    </xf>
    <xf numFmtId="0" fontId="0" fillId="50" borderId="9" xfId="0" applyFont="1" applyFill="1" applyBorder="1" applyAlignment="1">
      <alignment horizontal="center"/>
    </xf>
    <xf numFmtId="9" fontId="4" fillId="23" borderId="9" xfId="47" applyFont="1" applyFill="1" applyBorder="1" applyAlignment="1">
      <alignment horizontal="left"/>
    </xf>
    <xf numFmtId="0" fontId="56" fillId="31" borderId="0" xfId="0" applyFont="1" applyFill="1" applyBorder="1" applyAlignment="1">
      <alignment horizontal="center"/>
    </xf>
    <xf numFmtId="0" fontId="2" fillId="23" borderId="0" xfId="0" applyFont="1" applyFill="1" applyBorder="1" applyAlignment="1">
      <alignment horizontal="center"/>
    </xf>
    <xf numFmtId="0" fontId="40" fillId="23" borderId="0" xfId="0" applyFont="1" applyFill="1" applyBorder="1" applyAlignment="1">
      <alignment horizontal="center"/>
    </xf>
    <xf numFmtId="4" fontId="0" fillId="23" borderId="9" xfId="0" applyNumberFormat="1" applyFont="1" applyFill="1" applyBorder="1"/>
  </cellXfs>
  <cellStyles count="58">
    <cellStyle name="20 % - Accent1" xfId="1" builtinId="30" customBuiltin="1"/>
    <cellStyle name="20 % - Accent1 2" xfId="2"/>
    <cellStyle name="20 % - Accent2" xfId="3" builtinId="34" customBuiltin="1"/>
    <cellStyle name="20 % - Accent2 2" xfId="4"/>
    <cellStyle name="20 % - Accent3" xfId="5" builtinId="38" customBuiltin="1"/>
    <cellStyle name="20 % - Accent3 2" xfId="6"/>
    <cellStyle name="20 % - Accent4" xfId="7" builtinId="42" customBuiltin="1"/>
    <cellStyle name="20 % - Accent4 2" xfId="8"/>
    <cellStyle name="20 % - Accent5" xfId="9" builtinId="46" customBuiltin="1"/>
    <cellStyle name="20 % - Accent5 2" xfId="10"/>
    <cellStyle name="20 % - Accent6" xfId="11" builtinId="50" customBuiltin="1"/>
    <cellStyle name="20 % - Accent6 2" xfId="12"/>
    <cellStyle name="40 % - Accent1" xfId="13" builtinId="31" customBuiltin="1"/>
    <cellStyle name="40 % - Accent1 2" xfId="14"/>
    <cellStyle name="40 % - Accent2" xfId="15" builtinId="35" customBuiltin="1"/>
    <cellStyle name="40 % - Accent2 2" xfId="16"/>
    <cellStyle name="40 % - Accent3" xfId="17" builtinId="39" customBuiltin="1"/>
    <cellStyle name="40 % - Accent3 2" xfId="18"/>
    <cellStyle name="40 % - Accent4" xfId="19" builtinId="43" customBuiltin="1"/>
    <cellStyle name="40 % - Accent4 2" xfId="20"/>
    <cellStyle name="40 % - Accent5" xfId="21" builtinId="47" customBuiltin="1"/>
    <cellStyle name="40 % - Accent5 2" xfId="22"/>
    <cellStyle name="40 % - Accent6" xfId="23" builtinId="51" customBuiltin="1"/>
    <cellStyle name="40 % - Accent6 2"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Avertissement" xfId="37" builtinId="11" customBuiltin="1"/>
    <cellStyle name="Calcul" xfId="38" builtinId="22" customBuiltin="1"/>
    <cellStyle name="Cellule liée" xfId="39" builtinId="24" customBuiltin="1"/>
    <cellStyle name="Entrée" xfId="40" builtinId="20" customBuiltin="1"/>
    <cellStyle name="Insatisfaisant" xfId="41" builtinId="27" customBuiltin="1"/>
    <cellStyle name="Lien hypertexte" xfId="42" builtinId="8"/>
    <cellStyle name="Neutre" xfId="43" builtinId="28" customBuiltin="1"/>
    <cellStyle name="Normal" xfId="0" builtinId="0"/>
    <cellStyle name="Normal 9" xfId="44"/>
    <cellStyle name="Normal_Feuil2_Laboratoires" xfId="45"/>
    <cellStyle name="Normal_Laboratoires" xfId="46"/>
    <cellStyle name="Pourcentage" xfId="47" builtinId="5"/>
    <cellStyle name="Satisfaisant" xfId="48" builtinId="26" customBuiltin="1"/>
    <cellStyle name="Sortie" xfId="49" builtinId="21" customBuiltin="1"/>
    <cellStyle name="Texte explicatif" xfId="50" builtinId="53" customBuiltin="1"/>
    <cellStyle name="Titre" xfId="51" builtinId="15" customBuiltin="1"/>
    <cellStyle name="Titre 1" xfId="52" builtinId="16" customBuiltin="1"/>
    <cellStyle name="Titre 2" xfId="53" builtinId="17" customBuiltin="1"/>
    <cellStyle name="Titre 3" xfId="54" builtinId="18" customBuiltin="1"/>
    <cellStyle name="Titre 4" xfId="55" builtinId="19" customBuiltin="1"/>
    <cellStyle name="Total" xfId="56" builtinId="25" customBuiltin="1"/>
    <cellStyle name="Vérification" xfId="57" builtinId="23" customBuiltin="1"/>
  </cellStyles>
  <dxfs count="5">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6AB38"/>
      <color rgb="FFFFECC5"/>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type de parcours, tCO2e</a:t>
            </a:r>
            <a:endParaRPr lang="fr-FR" sz="1000" b="1" i="0" u="none" strike="noStrike" baseline="0">
              <a:solidFill>
                <a:srgbClr val="DD0806"/>
              </a:solidFill>
              <a:latin typeface="Verdana"/>
              <a:ea typeface="Verdana"/>
            </a:endParaRPr>
          </a:p>
        </c:rich>
      </c:tx>
      <c:layout>
        <c:manualLayout>
          <c:xMode val="edge"/>
          <c:yMode val="edge"/>
          <c:x val="0.19607876175971831"/>
          <c:y val="3.1818101389011769E-2"/>
        </c:manualLayout>
      </c:layout>
      <c:overlay val="0"/>
      <c:spPr>
        <a:noFill/>
        <a:ln w="25400">
          <a:noFill/>
        </a:ln>
      </c:spPr>
    </c:title>
    <c:autoTitleDeleted val="0"/>
    <c:plotArea>
      <c:layout>
        <c:manualLayout>
          <c:layoutTarget val="inner"/>
          <c:xMode val="edge"/>
          <c:yMode val="edge"/>
          <c:x val="5.4902065912350473E-2"/>
          <c:y val="0.13211097095715163"/>
          <c:w val="0.93725669664655453"/>
          <c:h val="0.71107098860505835"/>
        </c:manualLayout>
      </c:layout>
      <c:barChart>
        <c:barDir val="col"/>
        <c:grouping val="stacked"/>
        <c:varyColors val="0"/>
        <c:ser>
          <c:idx val="0"/>
          <c:order val="0"/>
          <c:tx>
            <c:v>Type de parcours</c:v>
          </c:tx>
          <c:spPr>
            <a:solidFill>
              <a:schemeClr val="accent2">
                <a:lumMod val="50000"/>
              </a:schemeClr>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1'!$J$293:$J$295</c:f>
                <c:numCache>
                  <c:formatCode>General</c:formatCode>
                  <c:ptCount val="3"/>
                  <c:pt idx="0">
                    <c:v>0</c:v>
                  </c:pt>
                  <c:pt idx="1">
                    <c:v>0</c:v>
                  </c:pt>
                  <c:pt idx="2">
                    <c:v>0</c:v>
                  </c:pt>
                </c:numCache>
              </c:numRef>
            </c:plus>
            <c:minus>
              <c:numRef>
                <c:f>'Campus site 1'!$J$293:$J$295</c:f>
                <c:numCache>
                  <c:formatCode>General</c:formatCode>
                  <c:ptCount val="3"/>
                  <c:pt idx="0">
                    <c:v>0</c:v>
                  </c:pt>
                  <c:pt idx="1">
                    <c:v>0</c:v>
                  </c:pt>
                  <c:pt idx="2">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1'!$C$293:$C$295</c:f>
              <c:strCache>
                <c:ptCount val="3"/>
                <c:pt idx="0">
                  <c:v>Déplacements domicile-travail</c:v>
                </c:pt>
                <c:pt idx="1">
                  <c:v>Déplacements professionnels hors domicile-travail</c:v>
                </c:pt>
                <c:pt idx="2">
                  <c:v>Déplacements des visiteurs</c:v>
                </c:pt>
              </c:strCache>
            </c:strRef>
          </c:cat>
          <c:val>
            <c:numRef>
              <c:f>'Campus site 1'!$E$293:$E$295</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0E93-461E-8E6C-034DCA26DC38}"/>
            </c:ext>
          </c:extLst>
        </c:ser>
        <c:dLbls>
          <c:showLegendKey val="0"/>
          <c:showVal val="0"/>
          <c:showCatName val="0"/>
          <c:showSerName val="0"/>
          <c:showPercent val="0"/>
          <c:showBubbleSize val="0"/>
        </c:dLbls>
        <c:gapWidth val="150"/>
        <c:overlap val="100"/>
        <c:axId val="169737472"/>
        <c:axId val="169738032"/>
      </c:barChart>
      <c:catAx>
        <c:axId val="16973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69738032"/>
        <c:crosses val="autoZero"/>
        <c:auto val="1"/>
        <c:lblAlgn val="ctr"/>
        <c:lblOffset val="100"/>
        <c:tickLblSkip val="1"/>
        <c:tickMarkSkip val="1"/>
        <c:noMultiLvlLbl val="0"/>
      </c:catAx>
      <c:valAx>
        <c:axId val="16973803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697374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immobilisations, economies et ém° résiduelles, tCO2e</a:t>
            </a:r>
            <a:endParaRPr lang="fr-FR" sz="1000" b="1" i="0" u="none" strike="noStrike" baseline="0">
              <a:solidFill>
                <a:srgbClr val="DD0806"/>
              </a:solidFill>
              <a:latin typeface="Verdana"/>
              <a:ea typeface="Verdana"/>
            </a:endParaRPr>
          </a:p>
        </c:rich>
      </c:tx>
      <c:layout>
        <c:manualLayout>
          <c:xMode val="edge"/>
          <c:yMode val="edge"/>
          <c:x val="0.10997679151760628"/>
          <c:y val="1.2315315784655332E-2"/>
        </c:manualLayout>
      </c:layout>
      <c:overlay val="0"/>
      <c:spPr>
        <a:noFill/>
        <a:ln w="25400">
          <a:noFill/>
        </a:ln>
      </c:spPr>
    </c:title>
    <c:autoTitleDeleted val="0"/>
    <c:plotArea>
      <c:layout>
        <c:manualLayout>
          <c:layoutTarget val="inner"/>
          <c:xMode val="edge"/>
          <c:yMode val="edge"/>
          <c:x val="4.1543026706231452E-2"/>
          <c:y val="0.10562361570610558"/>
          <c:w val="0.95845697329376855"/>
          <c:h val="0.79533953159938808"/>
        </c:manualLayout>
      </c:layout>
      <c:barChart>
        <c:barDir val="col"/>
        <c:grouping val="stacked"/>
        <c:varyColors val="0"/>
        <c:ser>
          <c:idx val="1"/>
          <c:order val="0"/>
          <c:tx>
            <c:v>émissions résiduelles</c:v>
          </c:tx>
          <c:spPr>
            <a:solidFill>
              <a:schemeClr val="accent6">
                <a:lumMod val="50000"/>
              </a:schemeClr>
            </a:solidFill>
            <a:ln w="12700">
              <a:solidFill>
                <a:srgbClr val="000000"/>
              </a:solidFill>
              <a:prstDash val="solid"/>
            </a:ln>
          </c:spPr>
          <c:invertIfNegative val="0"/>
          <c:cat>
            <c:strRef>
              <c:f>'Campus site 1'!$C$748:$C$750</c:f>
              <c:strCache>
                <c:ptCount val="3"/>
                <c:pt idx="0">
                  <c:v>Bâtiments</c:v>
                </c:pt>
                <c:pt idx="1">
                  <c:v>Informatique</c:v>
                </c:pt>
                <c:pt idx="2">
                  <c:v>Autres équipements</c:v>
                </c:pt>
              </c:strCache>
            </c:strRef>
          </c:cat>
          <c:val>
            <c:numRef>
              <c:f>'Campus site 1'!$O$748:$O$750</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ECA7-406D-993E-DE427392A703}"/>
            </c:ext>
          </c:extLst>
        </c:ser>
        <c:ser>
          <c:idx val="0"/>
          <c:order val="1"/>
          <c:tx>
            <c:v>réductions visées à long terme</c:v>
          </c:tx>
          <c:spPr>
            <a:solidFill>
              <a:srgbClr val="F6AB38"/>
            </a:solidFill>
            <a:ln w="12700">
              <a:solidFill>
                <a:srgbClr val="000000"/>
              </a:solidFill>
              <a:prstDash val="solid"/>
            </a:ln>
          </c:spPr>
          <c:invertIfNegative val="0"/>
          <c:cat>
            <c:strRef>
              <c:f>'Campus site 1'!$C$748:$C$750</c:f>
              <c:strCache>
                <c:ptCount val="3"/>
                <c:pt idx="0">
                  <c:v>Bâtiments</c:v>
                </c:pt>
                <c:pt idx="1">
                  <c:v>Informatique</c:v>
                </c:pt>
                <c:pt idx="2">
                  <c:v>Autres équipements</c:v>
                </c:pt>
              </c:strCache>
            </c:strRef>
          </c:cat>
          <c:val>
            <c:numRef>
              <c:f>'Campus site 1'!$M$748:$M$750</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CA7-406D-993E-DE427392A703}"/>
            </c:ext>
          </c:extLst>
        </c:ser>
        <c:dLbls>
          <c:showLegendKey val="0"/>
          <c:showVal val="0"/>
          <c:showCatName val="0"/>
          <c:showSerName val="0"/>
          <c:showPercent val="0"/>
          <c:showBubbleSize val="0"/>
        </c:dLbls>
        <c:gapWidth val="150"/>
        <c:overlap val="100"/>
        <c:axId val="170626720"/>
        <c:axId val="170627280"/>
      </c:barChart>
      <c:catAx>
        <c:axId val="17062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627280"/>
        <c:crosses val="autoZero"/>
        <c:auto val="1"/>
        <c:lblAlgn val="ctr"/>
        <c:lblOffset val="100"/>
        <c:tickLblSkip val="1"/>
        <c:tickMarkSkip val="1"/>
        <c:noMultiLvlLbl val="0"/>
      </c:catAx>
      <c:valAx>
        <c:axId val="1706272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626720"/>
        <c:crosses val="autoZero"/>
        <c:crossBetween val="between"/>
      </c:valAx>
      <c:spPr>
        <a:noFill/>
        <a:ln w="25400">
          <a:noFill/>
        </a:ln>
      </c:spPr>
    </c:plotArea>
    <c:legend>
      <c:legendPos val="r"/>
      <c:layout>
        <c:manualLayout>
          <c:xMode val="edge"/>
          <c:yMode val="edge"/>
          <c:x val="0.55491461429995126"/>
          <c:y val="8.8267560774896045E-2"/>
          <c:w val="0.44282746521969729"/>
          <c:h val="0.1268059663273798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Verdana"/>
                <a:ea typeface="Verdana"/>
                <a:cs typeface="Verdana"/>
              </a:defRPr>
            </a:pPr>
            <a:r>
              <a:rPr lang="fr-FR" sz="1200" b="1" i="0" u="none" strike="noStrike" baseline="0">
                <a:solidFill>
                  <a:srgbClr val="000000"/>
                </a:solidFill>
                <a:latin typeface="Verdana"/>
                <a:ea typeface="Verdana"/>
              </a:rPr>
              <a:t>Campus total, économies et ém° résiduelles, tCO2e</a:t>
            </a:r>
            <a:endParaRPr lang="fr-FR" sz="1000" b="1" i="0" u="none" strike="noStrike" baseline="0">
              <a:solidFill>
                <a:srgbClr val="DD0806"/>
              </a:solidFill>
              <a:latin typeface="Verdana"/>
              <a:ea typeface="Verdana"/>
            </a:endParaRPr>
          </a:p>
          <a:p>
            <a:pPr>
              <a:defRPr sz="950" b="1" i="0" u="none" strike="noStrike" baseline="0">
                <a:solidFill>
                  <a:srgbClr val="000000"/>
                </a:solidFill>
                <a:latin typeface="Verdana"/>
                <a:ea typeface="Verdana"/>
                <a:cs typeface="Verdana"/>
              </a:defRPr>
            </a:pPr>
            <a:r>
              <a:rPr lang="fr-FR" sz="900" b="1" i="0" u="none" strike="noStrike" baseline="0">
                <a:solidFill>
                  <a:srgbClr val="000000"/>
                </a:solidFill>
                <a:latin typeface="Verdana"/>
                <a:ea typeface="Verdana"/>
              </a:rPr>
              <a:t>Réalisé dans le cadre de la démarche Bilan Carbone® Campus</a:t>
            </a:r>
          </a:p>
        </c:rich>
      </c:tx>
      <c:layout>
        <c:manualLayout>
          <c:xMode val="edge"/>
          <c:yMode val="edge"/>
          <c:x val="0.19220066879395178"/>
          <c:y val="3.3556947113894231E-2"/>
        </c:manualLayout>
      </c:layout>
      <c:overlay val="0"/>
      <c:spPr>
        <a:noFill/>
        <a:ln w="25400">
          <a:noFill/>
        </a:ln>
      </c:spPr>
    </c:title>
    <c:autoTitleDeleted val="0"/>
    <c:plotArea>
      <c:layout>
        <c:manualLayout>
          <c:layoutTarget val="inner"/>
          <c:xMode val="edge"/>
          <c:yMode val="edge"/>
          <c:x val="3.2033447968428989E-2"/>
          <c:y val="0.13796613403782568"/>
          <c:w val="0.96935999069680778"/>
          <c:h val="0.76360197622166703"/>
        </c:manualLayout>
      </c:layout>
      <c:barChart>
        <c:barDir val="col"/>
        <c:grouping val="stacked"/>
        <c:varyColors val="0"/>
        <c:ser>
          <c:idx val="1"/>
          <c:order val="0"/>
          <c:tx>
            <c:v>émissions résiduelles</c:v>
          </c:tx>
          <c:spPr>
            <a:solidFill>
              <a:srgbClr val="993366"/>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xmlns:c16r2="http://schemas.microsoft.com/office/drawing/2015/06/chart">
              <c:ext xmlns:c16="http://schemas.microsoft.com/office/drawing/2014/chart" uri="{C3380CC4-5D6E-409C-BE32-E72D297353CC}">
                <c16:uniqueId val="{00000007-A96B-4A28-8862-F3B9E1CA6763}"/>
              </c:ext>
            </c:extLst>
          </c:dPt>
          <c:dPt>
            <c:idx val="1"/>
            <c:invertIfNegative val="0"/>
            <c:bubble3D val="0"/>
            <c:spPr>
              <a:solidFill>
                <a:schemeClr val="tx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6-A96B-4A28-8862-F3B9E1CA6763}"/>
              </c:ext>
            </c:extLst>
          </c:dPt>
          <c:dPt>
            <c:idx val="2"/>
            <c:invertIfNegative val="0"/>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A96B-4A28-8862-F3B9E1CA6763}"/>
              </c:ext>
            </c:extLst>
          </c:dPt>
          <c:dPt>
            <c:idx val="3"/>
            <c:invertIfNegative val="0"/>
            <c:bubble3D val="0"/>
            <c:spPr>
              <a:solidFill>
                <a:schemeClr val="accent3">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4-A96B-4A28-8862-F3B9E1CA6763}"/>
              </c:ext>
            </c:extLst>
          </c:dPt>
          <c:dPt>
            <c:idx val="4"/>
            <c:invertIfNegative val="0"/>
            <c:bubble3D val="0"/>
            <c:spPr>
              <a:solidFill>
                <a:schemeClr val="accent4">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A96B-4A28-8862-F3B9E1CA6763}"/>
              </c:ext>
            </c:extLst>
          </c:dPt>
          <c:dPt>
            <c:idx val="6"/>
            <c:invertIfNegative val="0"/>
            <c:bubble3D val="0"/>
            <c:spPr>
              <a:solidFill>
                <a:schemeClr val="accent6">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2-A96B-4A28-8862-F3B9E1CA6763}"/>
              </c:ext>
            </c:extLst>
          </c:dPt>
          <c:cat>
            <c:strRef>
              <c:f>'Campus site 1'!$C$792:$C$798</c:f>
              <c:strCache>
                <c:ptCount val="7"/>
                <c:pt idx="0">
                  <c:v>Sources fixes</c:v>
                </c:pt>
                <c:pt idx="1">
                  <c:v>Fret</c:v>
                </c:pt>
                <c:pt idx="2">
                  <c:v>Déplacement de personnes</c:v>
                </c:pt>
                <c:pt idx="3">
                  <c:v>Consommables et matériaux</c:v>
                </c:pt>
                <c:pt idx="4">
                  <c:v>Restaurant Universitaire</c:v>
                </c:pt>
                <c:pt idx="5">
                  <c:v>Déchets directs</c:v>
                </c:pt>
                <c:pt idx="6">
                  <c:v>Immobilisations</c:v>
                </c:pt>
              </c:strCache>
            </c:strRef>
          </c:cat>
          <c:val>
            <c:numRef>
              <c:f>'Campus site 1'!$P$792:$P$798</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1813-40D0-82AF-6E3EA36234D4}"/>
            </c:ext>
          </c:extLst>
        </c:ser>
        <c:ser>
          <c:idx val="0"/>
          <c:order val="1"/>
          <c:tx>
            <c:v>réductions visées à long terme</c:v>
          </c:tx>
          <c:spPr>
            <a:solidFill>
              <a:srgbClr val="F6AB38"/>
            </a:solidFill>
            <a:ln w="12700">
              <a:solidFill>
                <a:srgbClr val="000000"/>
              </a:solidFill>
              <a:prstDash val="solid"/>
            </a:ln>
          </c:spPr>
          <c:invertIfNegative val="0"/>
          <c:dPt>
            <c:idx val="5"/>
            <c:invertIfNegative val="0"/>
            <c:bubble3D val="0"/>
            <c:extLst xmlns:c16r2="http://schemas.microsoft.com/office/drawing/2015/06/chart">
              <c:ext xmlns:c16="http://schemas.microsoft.com/office/drawing/2014/chart" uri="{C3380CC4-5D6E-409C-BE32-E72D297353CC}">
                <c16:uniqueId val="{00000001-1813-40D0-82AF-6E3EA36234D4}"/>
              </c:ext>
            </c:extLst>
          </c:dPt>
          <c:cat>
            <c:strRef>
              <c:f>'Campus site 1'!$C$792:$C$798</c:f>
              <c:strCache>
                <c:ptCount val="7"/>
                <c:pt idx="0">
                  <c:v>Sources fixes</c:v>
                </c:pt>
                <c:pt idx="1">
                  <c:v>Fret</c:v>
                </c:pt>
                <c:pt idx="2">
                  <c:v>Déplacement de personnes</c:v>
                </c:pt>
                <c:pt idx="3">
                  <c:v>Consommables et matériaux</c:v>
                </c:pt>
                <c:pt idx="4">
                  <c:v>Restaurant Universitaire</c:v>
                </c:pt>
                <c:pt idx="5">
                  <c:v>Déchets directs</c:v>
                </c:pt>
                <c:pt idx="6">
                  <c:v>Immobilisations</c:v>
                </c:pt>
              </c:strCache>
            </c:strRef>
          </c:cat>
          <c:val>
            <c:numRef>
              <c:f>'Campus site 1'!$N$792:$N$798</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1813-40D0-82AF-6E3EA36234D4}"/>
            </c:ext>
          </c:extLst>
        </c:ser>
        <c:dLbls>
          <c:showLegendKey val="0"/>
          <c:showVal val="0"/>
          <c:showCatName val="0"/>
          <c:showSerName val="0"/>
          <c:showPercent val="0"/>
          <c:showBubbleSize val="0"/>
        </c:dLbls>
        <c:gapWidth val="150"/>
        <c:overlap val="100"/>
        <c:axId val="170630080"/>
        <c:axId val="170630640"/>
      </c:barChart>
      <c:catAx>
        <c:axId val="170630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Verdana"/>
                <a:ea typeface="Verdana"/>
                <a:cs typeface="Verdana"/>
              </a:defRPr>
            </a:pPr>
            <a:endParaRPr lang="fr-FR"/>
          </a:p>
        </c:txPr>
        <c:crossAx val="170630640"/>
        <c:crosses val="autoZero"/>
        <c:auto val="1"/>
        <c:lblAlgn val="ctr"/>
        <c:lblOffset val="100"/>
        <c:tickLblSkip val="1"/>
        <c:tickMarkSkip val="1"/>
        <c:noMultiLvlLbl val="0"/>
      </c:catAx>
      <c:valAx>
        <c:axId val="1706306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Verdana"/>
                <a:ea typeface="Verdana"/>
                <a:cs typeface="Verdana"/>
              </a:defRPr>
            </a:pPr>
            <a:endParaRPr lang="fr-FR"/>
          </a:p>
        </c:txPr>
        <c:crossAx val="170630080"/>
        <c:crosses val="autoZero"/>
        <c:crossBetween val="between"/>
      </c:valAx>
      <c:spPr>
        <a:noFill/>
        <a:ln w="25400">
          <a:noFill/>
        </a:ln>
      </c:spPr>
    </c:plotArea>
    <c:legend>
      <c:legendPos val="r"/>
      <c:layout>
        <c:manualLayout>
          <c:xMode val="edge"/>
          <c:yMode val="edge"/>
          <c:x val="0.60855141365356213"/>
          <c:y val="0.17243739014793449"/>
          <c:w val="0.38986371601508996"/>
          <c:h val="0.1384140368280736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5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mode de transport, tCO2e</a:t>
            </a:r>
            <a:endParaRPr lang="fr-FR" sz="1000" b="1" i="0" u="none" strike="noStrike" baseline="0">
              <a:solidFill>
                <a:srgbClr val="DD0806"/>
              </a:solidFill>
              <a:latin typeface="Verdana"/>
              <a:ea typeface="Verdana"/>
            </a:endParaRPr>
          </a:p>
        </c:rich>
      </c:tx>
      <c:layout>
        <c:manualLayout>
          <c:xMode val="edge"/>
          <c:yMode val="edge"/>
          <c:x val="0.15779810578876613"/>
          <c:y val="2.5056839759981769E-2"/>
        </c:manualLayout>
      </c:layout>
      <c:overlay val="0"/>
      <c:spPr>
        <a:noFill/>
        <a:ln w="25400">
          <a:noFill/>
        </a:ln>
      </c:spPr>
    </c:title>
    <c:autoTitleDeleted val="0"/>
    <c:plotArea>
      <c:layout>
        <c:manualLayout>
          <c:layoutTarget val="inner"/>
          <c:xMode val="edge"/>
          <c:yMode val="edge"/>
          <c:x val="5.1376146788990829E-2"/>
          <c:y val="0.12643882943385668"/>
          <c:w val="0.94128440366972477"/>
          <c:h val="0.75511129916967579"/>
        </c:manualLayout>
      </c:layout>
      <c:barChart>
        <c:barDir val="col"/>
        <c:grouping val="stacked"/>
        <c:varyColors val="0"/>
        <c:ser>
          <c:idx val="0"/>
          <c:order val="0"/>
          <c:tx>
            <c:v>Mode de transport</c:v>
          </c:tx>
          <c:spPr>
            <a:solidFill>
              <a:schemeClr val="accent2">
                <a:lumMod val="50000"/>
              </a:schemeClr>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1'!$J$299:$J$302</c:f>
                <c:numCache>
                  <c:formatCode>General</c:formatCode>
                  <c:ptCount val="4"/>
                  <c:pt idx="0">
                    <c:v>0</c:v>
                  </c:pt>
                  <c:pt idx="1">
                    <c:v>0</c:v>
                  </c:pt>
                  <c:pt idx="2">
                    <c:v>0</c:v>
                  </c:pt>
                  <c:pt idx="3">
                    <c:v>0</c:v>
                  </c:pt>
                </c:numCache>
              </c:numRef>
            </c:plus>
            <c:minus>
              <c:numRef>
                <c:f>'Campus site 1'!$J$299:$J$302</c:f>
                <c:numCache>
                  <c:formatCode>General</c:formatCode>
                  <c:ptCount val="4"/>
                  <c:pt idx="0">
                    <c:v>0</c:v>
                  </c:pt>
                  <c:pt idx="1">
                    <c:v>0</c:v>
                  </c:pt>
                  <c:pt idx="2">
                    <c:v>0</c:v>
                  </c:pt>
                  <c:pt idx="3">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1'!$C$299:$C$302</c:f>
              <c:strCache>
                <c:ptCount val="4"/>
                <c:pt idx="0">
                  <c:v>Voiture</c:v>
                </c:pt>
                <c:pt idx="1">
                  <c:v>Autres modes routiers</c:v>
                </c:pt>
                <c:pt idx="2">
                  <c:v>Train</c:v>
                </c:pt>
                <c:pt idx="3">
                  <c:v>Avion</c:v>
                </c:pt>
              </c:strCache>
            </c:strRef>
          </c:cat>
          <c:val>
            <c:numRef>
              <c:f>'Campus site 1'!$E$299:$E$302</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D49E-4B27-A98A-E6624C3B576A}"/>
            </c:ext>
          </c:extLst>
        </c:ser>
        <c:dLbls>
          <c:showLegendKey val="0"/>
          <c:showVal val="0"/>
          <c:showCatName val="0"/>
          <c:showSerName val="0"/>
          <c:showPercent val="0"/>
          <c:showBubbleSize val="0"/>
        </c:dLbls>
        <c:gapWidth val="150"/>
        <c:overlap val="100"/>
        <c:axId val="170632880"/>
        <c:axId val="170633440"/>
      </c:barChart>
      <c:catAx>
        <c:axId val="17063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633440"/>
        <c:crosses val="autoZero"/>
        <c:auto val="1"/>
        <c:lblAlgn val="ctr"/>
        <c:lblOffset val="100"/>
        <c:tickLblSkip val="1"/>
        <c:tickMarkSkip val="1"/>
        <c:noMultiLvlLbl val="0"/>
      </c:catAx>
      <c:valAx>
        <c:axId val="1706334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6328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3" footer="0.4921259845000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mode de transport, économies et ém° résiduelles, tCO2e</a:t>
            </a:r>
            <a:endParaRPr lang="fr-FR" sz="1000" b="1" i="0" u="none" strike="noStrike" baseline="0">
              <a:solidFill>
                <a:srgbClr val="DD0806"/>
              </a:solidFill>
              <a:latin typeface="Verdana"/>
              <a:ea typeface="Verdana"/>
            </a:endParaRPr>
          </a:p>
        </c:rich>
      </c:tx>
      <c:layout>
        <c:manualLayout>
          <c:xMode val="edge"/>
          <c:yMode val="edge"/>
          <c:x val="0.10236239818916985"/>
          <c:y val="1.0373478596074367E-2"/>
        </c:manualLayout>
      </c:layout>
      <c:overlay val="0"/>
      <c:spPr>
        <a:noFill/>
        <a:ln w="25400">
          <a:noFill/>
        </a:ln>
      </c:spPr>
    </c:title>
    <c:autoTitleDeleted val="0"/>
    <c:plotArea>
      <c:layout>
        <c:manualLayout>
          <c:layoutTarget val="inner"/>
          <c:xMode val="edge"/>
          <c:yMode val="edge"/>
          <c:x val="4.9151606787145703E-2"/>
          <c:y val="0.13796545916910438"/>
          <c:w val="0.94441301612444239"/>
          <c:h val="0.74318773060760113"/>
        </c:manualLayout>
      </c:layout>
      <c:barChart>
        <c:barDir val="col"/>
        <c:grouping val="stacked"/>
        <c:varyColors val="0"/>
        <c:ser>
          <c:idx val="1"/>
          <c:order val="0"/>
          <c:tx>
            <c:v>émissions résiduelles par parcours</c:v>
          </c:tx>
          <c:spPr>
            <a:solidFill>
              <a:schemeClr val="accent2">
                <a:lumMod val="50000"/>
              </a:schemeClr>
            </a:solidFill>
            <a:ln w="12700">
              <a:solidFill>
                <a:srgbClr val="000000"/>
              </a:solidFill>
              <a:prstDash val="solid"/>
            </a:ln>
          </c:spPr>
          <c:invertIfNegative val="0"/>
          <c:cat>
            <c:strRef>
              <c:f>'Campus site 1'!$C$299:$C$302</c:f>
              <c:strCache>
                <c:ptCount val="4"/>
                <c:pt idx="0">
                  <c:v>Voiture</c:v>
                </c:pt>
                <c:pt idx="1">
                  <c:v>Autres modes routiers</c:v>
                </c:pt>
                <c:pt idx="2">
                  <c:v>Train</c:v>
                </c:pt>
                <c:pt idx="3">
                  <c:v>Avion</c:v>
                </c:pt>
              </c:strCache>
            </c:strRef>
          </c:cat>
          <c:val>
            <c:numRef>
              <c:f>'Campus site 1'!$P$299:$P$302</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9ECE-4283-8F88-88F32B3F80F4}"/>
            </c:ext>
          </c:extLst>
        </c:ser>
        <c:ser>
          <c:idx val="0"/>
          <c:order val="1"/>
          <c:tx>
            <c:v>réductions visées à long terme par parcours</c:v>
          </c:tx>
          <c:spPr>
            <a:solidFill>
              <a:srgbClr val="F6AB38"/>
            </a:solidFill>
            <a:ln w="12700">
              <a:solidFill>
                <a:srgbClr val="000000"/>
              </a:solidFill>
              <a:prstDash val="solid"/>
            </a:ln>
          </c:spPr>
          <c:invertIfNegative val="0"/>
          <c:cat>
            <c:strRef>
              <c:f>'Campus site 1'!$C$299:$C$302</c:f>
              <c:strCache>
                <c:ptCount val="4"/>
                <c:pt idx="0">
                  <c:v>Voiture</c:v>
                </c:pt>
                <c:pt idx="1">
                  <c:v>Autres modes routiers</c:v>
                </c:pt>
                <c:pt idx="2">
                  <c:v>Train</c:v>
                </c:pt>
                <c:pt idx="3">
                  <c:v>Avion</c:v>
                </c:pt>
              </c:strCache>
            </c:strRef>
          </c:cat>
          <c:val>
            <c:numRef>
              <c:f>'Campus site 1'!$N$299:$N$302</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9ECE-4283-8F88-88F32B3F80F4}"/>
            </c:ext>
          </c:extLst>
        </c:ser>
        <c:dLbls>
          <c:showLegendKey val="0"/>
          <c:showVal val="0"/>
          <c:showCatName val="0"/>
          <c:showSerName val="0"/>
          <c:showPercent val="0"/>
          <c:showBubbleSize val="0"/>
        </c:dLbls>
        <c:gapWidth val="150"/>
        <c:overlap val="100"/>
        <c:axId val="171369600"/>
        <c:axId val="171370160"/>
      </c:barChart>
      <c:catAx>
        <c:axId val="171369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1370160"/>
        <c:crosses val="autoZero"/>
        <c:auto val="1"/>
        <c:lblAlgn val="ctr"/>
        <c:lblOffset val="100"/>
        <c:tickLblSkip val="1"/>
        <c:tickMarkSkip val="1"/>
        <c:noMultiLvlLbl val="0"/>
      </c:catAx>
      <c:valAx>
        <c:axId val="1713701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1369600"/>
        <c:crosses val="autoZero"/>
        <c:crossBetween val="between"/>
      </c:valAx>
      <c:spPr>
        <a:noFill/>
        <a:ln w="25400">
          <a:noFill/>
        </a:ln>
      </c:spPr>
    </c:plotArea>
    <c:legend>
      <c:legendPos val="r"/>
      <c:layout>
        <c:manualLayout>
          <c:xMode val="edge"/>
          <c:yMode val="edge"/>
          <c:x val="0.63871810249763006"/>
          <c:y val="0.11234185614438644"/>
          <c:w val="0.35265124107643797"/>
          <c:h val="0.1123418561443864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3" footer="0.4921259845000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Verdana"/>
                <a:ea typeface="Verdana"/>
                <a:cs typeface="Verdana"/>
              </a:defRPr>
            </a:pPr>
            <a:r>
              <a:rPr lang="fr-FR" sz="1200" b="1" i="0" u="none" strike="noStrike" baseline="0">
                <a:solidFill>
                  <a:srgbClr val="000000"/>
                </a:solidFill>
                <a:latin typeface="Verdana"/>
                <a:ea typeface="Verdana"/>
              </a:rPr>
              <a:t> Site 1 Campus, consommables et matériaux,</a:t>
            </a:r>
            <a:r>
              <a:rPr lang="fr-FR" sz="1075" b="1" i="0" u="none" strike="noStrike" baseline="0">
                <a:solidFill>
                  <a:srgbClr val="000000"/>
                </a:solidFill>
                <a:latin typeface="Verdana"/>
                <a:ea typeface="Verdana"/>
              </a:rPr>
              <a:t> </a:t>
            </a:r>
            <a:r>
              <a:rPr lang="fr-FR" sz="1100" b="1" i="0" u="none" strike="noStrike" baseline="0">
                <a:solidFill>
                  <a:sysClr val="windowText" lastClr="000000"/>
                </a:solidFill>
                <a:latin typeface="Verdana"/>
                <a:ea typeface="Verdana"/>
              </a:rPr>
              <a:t>tCO2e</a:t>
            </a:r>
          </a:p>
        </c:rich>
      </c:tx>
      <c:layout>
        <c:manualLayout>
          <c:xMode val="edge"/>
          <c:yMode val="edge"/>
          <c:x val="0.10735292686825444"/>
          <c:y val="1.1160766321532643E-2"/>
        </c:manualLayout>
      </c:layout>
      <c:overlay val="0"/>
      <c:spPr>
        <a:noFill/>
        <a:ln w="25400">
          <a:noFill/>
        </a:ln>
      </c:spPr>
    </c:title>
    <c:autoTitleDeleted val="0"/>
    <c:plotArea>
      <c:layout>
        <c:manualLayout>
          <c:layoutTarget val="inner"/>
          <c:xMode val="edge"/>
          <c:yMode val="edge"/>
          <c:x val="3.6539299187660114E-2"/>
          <c:y val="0.12713791571188346"/>
          <c:w val="0.9588416097175636"/>
          <c:h val="0.70260427103935597"/>
        </c:manualLayout>
      </c:layout>
      <c:barChart>
        <c:barDir val="col"/>
        <c:grouping val="clustered"/>
        <c:varyColors val="0"/>
        <c:ser>
          <c:idx val="0"/>
          <c:order val="0"/>
          <c:spPr>
            <a:solidFill>
              <a:schemeClr val="accent3">
                <a:lumMod val="5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25"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1'!$J$429:$J$434</c:f>
                <c:numCache>
                  <c:formatCode>General</c:formatCode>
                  <c:ptCount val="6"/>
                  <c:pt idx="0">
                    <c:v>0</c:v>
                  </c:pt>
                  <c:pt idx="1">
                    <c:v>0</c:v>
                  </c:pt>
                  <c:pt idx="2">
                    <c:v>0</c:v>
                  </c:pt>
                  <c:pt idx="3">
                    <c:v>0</c:v>
                  </c:pt>
                  <c:pt idx="4">
                    <c:v>0</c:v>
                  </c:pt>
                  <c:pt idx="5">
                    <c:v>0</c:v>
                  </c:pt>
                </c:numCache>
              </c:numRef>
            </c:plus>
            <c:minus>
              <c:numRef>
                <c:f>'Campus site 1'!$J$429:$J$434</c:f>
                <c:numCache>
                  <c:formatCode>General</c:formatCode>
                  <c:ptCount val="6"/>
                  <c:pt idx="0">
                    <c:v>0</c:v>
                  </c:pt>
                  <c:pt idx="1">
                    <c:v>0</c:v>
                  </c:pt>
                  <c:pt idx="2">
                    <c:v>0</c:v>
                  </c:pt>
                  <c:pt idx="3">
                    <c:v>0</c:v>
                  </c:pt>
                  <c:pt idx="4">
                    <c:v>0</c:v>
                  </c:pt>
                  <c:pt idx="5">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1'!$C$429:$C$434</c:f>
              <c:strCache>
                <c:ptCount val="6"/>
                <c:pt idx="0">
                  <c:v>Métaux</c:v>
                </c:pt>
                <c:pt idx="1">
                  <c:v>Plastiques</c:v>
                </c:pt>
                <c:pt idx="2">
                  <c:v>Verres</c:v>
                </c:pt>
                <c:pt idx="3">
                  <c:v>Papiers et cartons</c:v>
                </c:pt>
                <c:pt idx="4">
                  <c:v>Produits chimiques &amp; textiles de synthèse</c:v>
                </c:pt>
                <c:pt idx="5">
                  <c:v>Autres (produits manufacturés ou services)</c:v>
                </c:pt>
              </c:strCache>
            </c:strRef>
          </c:cat>
          <c:val>
            <c:numRef>
              <c:f>'Campus site 1'!$E$429:$E$434</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B7DA-4188-8BD6-684FC04626CE}"/>
            </c:ext>
          </c:extLst>
        </c:ser>
        <c:dLbls>
          <c:showLegendKey val="0"/>
          <c:showVal val="0"/>
          <c:showCatName val="0"/>
          <c:showSerName val="0"/>
          <c:showPercent val="0"/>
          <c:showBubbleSize val="0"/>
        </c:dLbls>
        <c:gapWidth val="150"/>
        <c:axId val="171372400"/>
        <c:axId val="171372960"/>
      </c:barChart>
      <c:catAx>
        <c:axId val="171372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Verdana"/>
                <a:ea typeface="Verdana"/>
                <a:cs typeface="Verdana"/>
              </a:defRPr>
            </a:pPr>
            <a:endParaRPr lang="fr-FR"/>
          </a:p>
        </c:txPr>
        <c:crossAx val="171372960"/>
        <c:crosses val="autoZero"/>
        <c:auto val="1"/>
        <c:lblAlgn val="ctr"/>
        <c:lblOffset val="100"/>
        <c:tickLblSkip val="1"/>
        <c:tickMarkSkip val="1"/>
        <c:noMultiLvlLbl val="0"/>
      </c:catAx>
      <c:valAx>
        <c:axId val="1713729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Verdana"/>
                <a:ea typeface="Verdana"/>
                <a:cs typeface="Verdana"/>
              </a:defRPr>
            </a:pPr>
            <a:endParaRPr lang="fr-FR"/>
          </a:p>
        </c:txPr>
        <c:crossAx val="1713724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Verdana"/>
          <a:ea typeface="Verdana"/>
          <a:cs typeface="Verdana"/>
        </a:defRPr>
      </a:pPr>
      <a:endParaRPr lang="fr-FR"/>
    </a:p>
  </c:txPr>
  <c:printSettings>
    <c:headerFooter alignWithMargins="0">
      <c:oddFooter>&amp;LCalcul des émissions de gaz à effet de serre&amp;RRubrique &amp;A, page &amp;P, édité le &amp;D </c:oddFooter>
    </c:headerFooter>
    <c:pageMargins b="0.98425196899999956" l="0.78740157499999996" r="0.78740157499999996" t="0.98425196899999956" header="0.49212598450000289" footer="0.49212598450000289"/>
    <c:pageSetup paperSize="9" orientation="landscape" horizontalDpi="-4" verticalDpi="-4"/>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cs typeface="Verdana"/>
              </a:rPr>
              <a:t>Site 1 Campus, consommables et matériaux, réductions</a:t>
            </a:r>
            <a:r>
              <a:rPr lang="fr-FR" sz="950" b="1" i="0" u="none" strike="noStrike" baseline="0">
                <a:solidFill>
                  <a:srgbClr val="000000"/>
                </a:solidFill>
                <a:latin typeface="Verdana"/>
                <a:ea typeface="Verdana"/>
                <a:cs typeface="Verdana"/>
              </a:rPr>
              <a:t> et ém</a:t>
            </a:r>
            <a:r>
              <a:rPr lang="fr-FR" sz="900" b="0" i="0" u="none" strike="noStrike" baseline="0">
                <a:solidFill>
                  <a:srgbClr val="000000"/>
                </a:solidFill>
                <a:latin typeface="Geneva"/>
                <a:ea typeface="Verdana"/>
                <a:cs typeface="Verdana"/>
              </a:rPr>
              <a:t>°</a:t>
            </a:r>
            <a:r>
              <a:rPr lang="fr-FR" sz="950" b="1" i="0" u="none" strike="noStrike" baseline="0">
                <a:solidFill>
                  <a:srgbClr val="000000"/>
                </a:solidFill>
                <a:latin typeface="Verdana"/>
                <a:ea typeface="Verdana"/>
                <a:cs typeface="Verdana"/>
              </a:rPr>
              <a:t> résiduelles</a:t>
            </a:r>
            <a:r>
              <a:rPr lang="fr-FR" sz="1000" b="1" i="0" u="none" strike="noStrike" baseline="0">
                <a:solidFill>
                  <a:srgbClr val="000000"/>
                </a:solidFill>
                <a:latin typeface="Verdana"/>
                <a:ea typeface="Verdana"/>
                <a:cs typeface="Verdana"/>
              </a:rPr>
              <a:t>,</a:t>
            </a:r>
            <a:r>
              <a:rPr lang="fr-FR" sz="950" b="1" i="0" u="none" strike="noStrike" baseline="0">
                <a:solidFill>
                  <a:srgbClr val="000000"/>
                </a:solidFill>
                <a:latin typeface="Verdana"/>
                <a:ea typeface="Verdana"/>
                <a:cs typeface="Verdana"/>
              </a:rPr>
              <a:t> </a:t>
            </a:r>
            <a:r>
              <a:rPr lang="fr-FR" sz="1000" b="1" i="0" u="none" strike="noStrike" baseline="0">
                <a:solidFill>
                  <a:srgbClr val="000000"/>
                </a:solidFill>
                <a:latin typeface="Verdana"/>
                <a:ea typeface="Verdana"/>
                <a:cs typeface="Verdana"/>
              </a:rPr>
              <a:t>tCO2e</a:t>
            </a:r>
            <a:endParaRPr lang="fr-FR" sz="950" b="1" i="0" u="none" strike="noStrike" baseline="0">
              <a:solidFill>
                <a:srgbClr val="DD0806"/>
              </a:solidFill>
              <a:latin typeface="Verdana"/>
              <a:ea typeface="Verdana"/>
              <a:cs typeface="Verdana"/>
            </a:endParaRPr>
          </a:p>
        </c:rich>
      </c:tx>
      <c:layout>
        <c:manualLayout>
          <c:xMode val="edge"/>
          <c:yMode val="edge"/>
          <c:x val="0.13585454434474759"/>
          <c:y val="1.1013008170216967E-2"/>
        </c:manualLayout>
      </c:layout>
      <c:overlay val="0"/>
      <c:spPr>
        <a:noFill/>
        <a:ln w="25400">
          <a:noFill/>
        </a:ln>
      </c:spPr>
    </c:title>
    <c:autoTitleDeleted val="0"/>
    <c:plotArea>
      <c:layout>
        <c:manualLayout>
          <c:layoutTarget val="inner"/>
          <c:xMode val="edge"/>
          <c:yMode val="edge"/>
          <c:x val="3.8799111214556162E-2"/>
          <c:y val="9.3126385809312637E-2"/>
          <c:w val="0.95612095493013405"/>
          <c:h val="0.73835920177383596"/>
        </c:manualLayout>
      </c:layout>
      <c:barChart>
        <c:barDir val="col"/>
        <c:grouping val="stacked"/>
        <c:varyColors val="0"/>
        <c:ser>
          <c:idx val="1"/>
          <c:order val="0"/>
          <c:tx>
            <c:v>émissions résiduelles</c:v>
          </c:tx>
          <c:spPr>
            <a:solidFill>
              <a:schemeClr val="accent3">
                <a:lumMod val="50000"/>
              </a:schemeClr>
            </a:solidFill>
            <a:ln w="12700">
              <a:solidFill>
                <a:srgbClr val="000000"/>
              </a:solidFill>
              <a:prstDash val="solid"/>
            </a:ln>
          </c:spPr>
          <c:invertIfNegative val="0"/>
          <c:cat>
            <c:strRef>
              <c:f>'Campus site 1'!$C$429:$C$434</c:f>
              <c:strCache>
                <c:ptCount val="6"/>
                <c:pt idx="0">
                  <c:v>Métaux</c:v>
                </c:pt>
                <c:pt idx="1">
                  <c:v>Plastiques</c:v>
                </c:pt>
                <c:pt idx="2">
                  <c:v>Verres</c:v>
                </c:pt>
                <c:pt idx="3">
                  <c:v>Papiers et cartons</c:v>
                </c:pt>
                <c:pt idx="4">
                  <c:v>Produits chimiques &amp; textiles de synthèse</c:v>
                </c:pt>
                <c:pt idx="5">
                  <c:v>Autres (produits manufacturés ou services)</c:v>
                </c:pt>
              </c:strCache>
            </c:strRef>
          </c:cat>
          <c:val>
            <c:numRef>
              <c:f>'Campus site 1'!$P$429:$P$434</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07EB-4217-BC0C-38735C4384DB}"/>
            </c:ext>
          </c:extLst>
        </c:ser>
        <c:ser>
          <c:idx val="0"/>
          <c:order val="1"/>
          <c:tx>
            <c:v>réductions visées à long terme</c:v>
          </c:tx>
          <c:spPr>
            <a:solidFill>
              <a:srgbClr val="F6AB38"/>
            </a:solidFill>
            <a:ln w="12700">
              <a:solidFill>
                <a:srgbClr val="000000"/>
              </a:solidFill>
              <a:prstDash val="solid"/>
            </a:ln>
          </c:spPr>
          <c:invertIfNegative val="0"/>
          <c:cat>
            <c:strRef>
              <c:f>'Campus site 1'!$C$429:$C$434</c:f>
              <c:strCache>
                <c:ptCount val="6"/>
                <c:pt idx="0">
                  <c:v>Métaux</c:v>
                </c:pt>
                <c:pt idx="1">
                  <c:v>Plastiques</c:v>
                </c:pt>
                <c:pt idx="2">
                  <c:v>Verres</c:v>
                </c:pt>
                <c:pt idx="3">
                  <c:v>Papiers et cartons</c:v>
                </c:pt>
                <c:pt idx="4">
                  <c:v>Produits chimiques &amp; textiles de synthèse</c:v>
                </c:pt>
                <c:pt idx="5">
                  <c:v>Autres (produits manufacturés ou services)</c:v>
                </c:pt>
              </c:strCache>
            </c:strRef>
          </c:cat>
          <c:val>
            <c:numRef>
              <c:f>'Campus site 1'!$N$429:$N$434</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07EB-4217-BC0C-38735C4384DB}"/>
            </c:ext>
          </c:extLst>
        </c:ser>
        <c:dLbls>
          <c:showLegendKey val="0"/>
          <c:showVal val="0"/>
          <c:showCatName val="0"/>
          <c:showSerName val="0"/>
          <c:showPercent val="0"/>
          <c:showBubbleSize val="0"/>
        </c:dLbls>
        <c:gapWidth val="150"/>
        <c:overlap val="100"/>
        <c:axId val="171199952"/>
        <c:axId val="171200512"/>
      </c:barChart>
      <c:catAx>
        <c:axId val="17119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Verdana"/>
                <a:ea typeface="Verdana"/>
                <a:cs typeface="Verdana"/>
              </a:defRPr>
            </a:pPr>
            <a:endParaRPr lang="fr-FR"/>
          </a:p>
        </c:txPr>
        <c:crossAx val="171200512"/>
        <c:crosses val="autoZero"/>
        <c:auto val="1"/>
        <c:lblAlgn val="ctr"/>
        <c:lblOffset val="100"/>
        <c:tickLblSkip val="1"/>
        <c:tickMarkSkip val="1"/>
        <c:noMultiLvlLbl val="0"/>
      </c:catAx>
      <c:valAx>
        <c:axId val="17120051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Verdana"/>
                <a:ea typeface="Verdana"/>
                <a:cs typeface="Verdana"/>
              </a:defRPr>
            </a:pPr>
            <a:endParaRPr lang="fr-FR"/>
          </a:p>
        </c:txPr>
        <c:crossAx val="171199952"/>
        <c:crosses val="autoZero"/>
        <c:crossBetween val="between"/>
      </c:valAx>
      <c:spPr>
        <a:noFill/>
        <a:ln w="25400">
          <a:noFill/>
        </a:ln>
      </c:spPr>
    </c:plotArea>
    <c:legend>
      <c:legendPos val="r"/>
      <c:layout>
        <c:manualLayout>
          <c:xMode val="edge"/>
          <c:yMode val="edge"/>
          <c:x val="0.53450009155832257"/>
          <c:y val="0.10355490830103917"/>
          <c:w val="0.4412055179149118"/>
          <c:h val="0.12210204132007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fr-FR" sz="1450" b="1" i="0" u="none" strike="noStrike" baseline="0">
                <a:solidFill>
                  <a:srgbClr val="000000"/>
                </a:solidFill>
                <a:latin typeface="Arial"/>
                <a:cs typeface="Arial"/>
              </a:rPr>
              <a:t>Emissions par poste, tCO2e</a:t>
            </a:r>
            <a:br>
              <a:rPr lang="fr-FR" sz="1450" b="1" i="0" u="none" strike="noStrike" baseline="0">
                <a:solidFill>
                  <a:srgbClr val="000000"/>
                </a:solidFill>
                <a:latin typeface="Arial"/>
                <a:cs typeface="Arial"/>
              </a:rPr>
            </a:br>
            <a:r>
              <a:rPr lang="fr-FR" sz="1075" b="1" i="0" u="none" strike="noStrike" baseline="0">
                <a:solidFill>
                  <a:srgbClr val="000000"/>
                </a:solidFill>
                <a:latin typeface="Arial"/>
                <a:cs typeface="Arial"/>
              </a:rPr>
              <a:t>Réalisé dans le cadre de la démarche Bilan Carbone® Campus</a:t>
            </a:r>
          </a:p>
        </c:rich>
      </c:tx>
      <c:layout>
        <c:manualLayout>
          <c:xMode val="edge"/>
          <c:yMode val="edge"/>
          <c:x val="0.15859756874012929"/>
          <c:y val="5.0238256412050888E-2"/>
        </c:manualLayout>
      </c:layout>
      <c:overlay val="0"/>
      <c:spPr>
        <a:noFill/>
        <a:ln w="25400">
          <a:noFill/>
        </a:ln>
      </c:spPr>
    </c:title>
    <c:autoTitleDeleted val="0"/>
    <c:plotArea>
      <c:layout>
        <c:manualLayout>
          <c:layoutTarget val="inner"/>
          <c:xMode val="edge"/>
          <c:yMode val="edge"/>
          <c:x val="4.9160219588715234E-2"/>
          <c:y val="0.21316411094701138"/>
          <c:w val="0.93404417218558944"/>
          <c:h val="0.6484676638282767"/>
        </c:manualLayout>
      </c:layout>
      <c:barChart>
        <c:barDir val="col"/>
        <c:grouping val="clustered"/>
        <c:varyColors val="0"/>
        <c:ser>
          <c:idx val="3"/>
          <c:order val="0"/>
          <c:spPr>
            <a:solidFill>
              <a:srgbClr val="CCFFFF"/>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xmlns:c16r2="http://schemas.microsoft.com/office/drawing/2015/06/chart">
              <c:ext xmlns:c16="http://schemas.microsoft.com/office/drawing/2014/chart" uri="{C3380CC4-5D6E-409C-BE32-E72D297353CC}">
                <c16:uniqueId val="{00000006-E510-4830-A22C-441D1AC7386E}"/>
              </c:ext>
            </c:extLst>
          </c:dPt>
          <c:dPt>
            <c:idx val="1"/>
            <c:invertIfNegative val="0"/>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E510-4830-A22C-441D1AC7386E}"/>
              </c:ext>
            </c:extLst>
          </c:dPt>
          <c:dPt>
            <c:idx val="2"/>
            <c:invertIfNegative val="0"/>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4-E510-4830-A22C-441D1AC7386E}"/>
              </c:ext>
            </c:extLst>
          </c:dPt>
          <c:dPt>
            <c:idx val="3"/>
            <c:invertIfNegative val="0"/>
            <c:bubble3D val="0"/>
            <c:spPr>
              <a:solidFill>
                <a:schemeClr val="accent3">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E510-4830-A22C-441D1AC7386E}"/>
              </c:ext>
            </c:extLst>
          </c:dPt>
          <c:dPt>
            <c:idx val="4"/>
            <c:invertIfNegative val="0"/>
            <c:bubble3D val="0"/>
            <c:spPr>
              <a:solidFill>
                <a:schemeClr val="accent4">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2-E510-4830-A22C-441D1AC7386E}"/>
              </c:ext>
            </c:extLst>
          </c:dPt>
          <c:dPt>
            <c:idx val="5"/>
            <c:invertIfNegative val="0"/>
            <c:bubble3D val="0"/>
            <c:spPr>
              <a:solidFill>
                <a:schemeClr val="accent5">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E510-4830-A22C-441D1AC7386E}"/>
              </c:ext>
            </c:extLst>
          </c:dPt>
          <c:dPt>
            <c:idx val="6"/>
            <c:invertIfNegative val="0"/>
            <c:bubble3D val="0"/>
            <c:spPr>
              <a:solidFill>
                <a:schemeClr val="accent6">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0-E510-4830-A22C-441D1AC7386E}"/>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BarType val="both"/>
            <c:errValType val="cust"/>
            <c:noEndCap val="0"/>
            <c:plus>
              <c:numRef>
                <c:f>'Campus site 1'!$J$792:$J$798</c:f>
                <c:numCache>
                  <c:formatCode>General</c:formatCode>
                  <c:ptCount val="7"/>
                  <c:pt idx="0">
                    <c:v>0</c:v>
                  </c:pt>
                  <c:pt idx="1">
                    <c:v>0</c:v>
                  </c:pt>
                  <c:pt idx="2">
                    <c:v>0</c:v>
                  </c:pt>
                  <c:pt idx="3">
                    <c:v>0</c:v>
                  </c:pt>
                  <c:pt idx="4">
                    <c:v>0</c:v>
                  </c:pt>
                  <c:pt idx="5">
                    <c:v>0</c:v>
                  </c:pt>
                  <c:pt idx="6">
                    <c:v>0</c:v>
                  </c:pt>
                </c:numCache>
              </c:numRef>
            </c:plus>
            <c:minus>
              <c:numRef>
                <c:f>'Campus site 1'!$J$792:$J$798</c:f>
                <c:numCache>
                  <c:formatCode>General</c:formatCode>
                  <c:ptCount val="7"/>
                  <c:pt idx="0">
                    <c:v>0</c:v>
                  </c:pt>
                  <c:pt idx="1">
                    <c:v>0</c:v>
                  </c:pt>
                  <c:pt idx="2">
                    <c:v>0</c:v>
                  </c:pt>
                  <c:pt idx="3">
                    <c:v>0</c:v>
                  </c:pt>
                  <c:pt idx="4">
                    <c:v>0</c:v>
                  </c:pt>
                  <c:pt idx="5">
                    <c:v>0</c:v>
                  </c:pt>
                  <c:pt idx="6">
                    <c:v>0</c:v>
                  </c:pt>
                </c:numCache>
              </c:numRef>
            </c:minus>
            <c:spPr>
              <a:ln w="12700">
                <a:solidFill>
                  <a:srgbClr val="000000"/>
                </a:solidFill>
                <a:prstDash val="solid"/>
              </a:ln>
            </c:spPr>
          </c:errBars>
          <c:cat>
            <c:strRef>
              <c:f>'Campus site 1'!$C$792:$C$798</c:f>
              <c:strCache>
                <c:ptCount val="7"/>
                <c:pt idx="0">
                  <c:v>Sources fixes</c:v>
                </c:pt>
                <c:pt idx="1">
                  <c:v>Fret</c:v>
                </c:pt>
                <c:pt idx="2">
                  <c:v>Déplacement de personnes</c:v>
                </c:pt>
                <c:pt idx="3">
                  <c:v>Consommables et matériaux</c:v>
                </c:pt>
                <c:pt idx="4">
                  <c:v>Restaurant Universitaire</c:v>
                </c:pt>
                <c:pt idx="5">
                  <c:v>Déchets directs</c:v>
                </c:pt>
                <c:pt idx="6">
                  <c:v>Immobilisations</c:v>
                </c:pt>
              </c:strCache>
            </c:strRef>
          </c:cat>
          <c:val>
            <c:numRef>
              <c:f>'Campus site 1'!$F$792:$F$798</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9AF6-4542-A264-EDE92EB6AF63}"/>
            </c:ext>
          </c:extLst>
        </c:ser>
        <c:dLbls>
          <c:showLegendKey val="0"/>
          <c:showVal val="0"/>
          <c:showCatName val="0"/>
          <c:showSerName val="0"/>
          <c:showPercent val="0"/>
          <c:showBubbleSize val="0"/>
        </c:dLbls>
        <c:gapWidth val="150"/>
        <c:axId val="171202752"/>
        <c:axId val="171203312"/>
      </c:barChart>
      <c:catAx>
        <c:axId val="1712027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171203312"/>
        <c:crossesAt val="0"/>
        <c:auto val="1"/>
        <c:lblAlgn val="ctr"/>
        <c:lblOffset val="100"/>
        <c:tickLblSkip val="1"/>
        <c:tickMarkSkip val="1"/>
        <c:noMultiLvlLbl val="0"/>
      </c:catAx>
      <c:valAx>
        <c:axId val="171203312"/>
        <c:scaling>
          <c:orientation val="minMax"/>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fr-FR"/>
          </a:p>
        </c:txPr>
        <c:crossAx val="1712027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Header>&amp;CRéalisé dans le cadre de la démarche Bilan Carbone™ Campus</c:oddHeader>
    </c:headerFooter>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Restaurant Universitaire</a:t>
            </a:r>
          </a:p>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 tCO2e</a:t>
            </a:r>
            <a:endParaRPr lang="fr-FR" sz="1000" b="1" i="0" u="none" strike="noStrike" baseline="0">
              <a:solidFill>
                <a:srgbClr val="DD0806"/>
              </a:solidFill>
              <a:latin typeface="Verdana"/>
              <a:ea typeface="Verdana"/>
            </a:endParaRPr>
          </a:p>
        </c:rich>
      </c:tx>
      <c:layout>
        <c:manualLayout>
          <c:xMode val="edge"/>
          <c:yMode val="edge"/>
          <c:x val="0.35607939632545932"/>
          <c:y val="2.4340661771211181E-2"/>
        </c:manualLayout>
      </c:layout>
      <c:overlay val="0"/>
      <c:spPr>
        <a:noFill/>
        <a:ln w="25400">
          <a:noFill/>
        </a:ln>
      </c:spPr>
    </c:title>
    <c:autoTitleDeleted val="0"/>
    <c:plotArea>
      <c:layout>
        <c:manualLayout>
          <c:layoutTarget val="inner"/>
          <c:xMode val="edge"/>
          <c:yMode val="edge"/>
          <c:x val="3.9653035935563817E-2"/>
          <c:y val="0.11844808124159882"/>
          <c:w val="0.95539033457249067"/>
          <c:h val="0.77603915296219916"/>
        </c:manualLayout>
      </c:layout>
      <c:barChart>
        <c:barDir val="col"/>
        <c:grouping val="clustered"/>
        <c:varyColors val="0"/>
        <c:ser>
          <c:idx val="0"/>
          <c:order val="0"/>
          <c:spPr>
            <a:solidFill>
              <a:schemeClr val="accent4">
                <a:lumMod val="50000"/>
              </a:schemeClr>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CFCE-4E06-8661-D156D5C7EF91}"/>
              </c:ext>
            </c:extLst>
          </c:dPt>
          <c:dPt>
            <c:idx val="1"/>
            <c:invertIfNegative val="0"/>
            <c:bubble3D val="0"/>
            <c:extLst xmlns:c16r2="http://schemas.microsoft.com/office/drawing/2015/06/chart">
              <c:ext xmlns:c16="http://schemas.microsoft.com/office/drawing/2014/chart" uri="{C3380CC4-5D6E-409C-BE32-E72D297353CC}">
                <c16:uniqueId val="{00000001-CFCE-4E06-8661-D156D5C7EF91}"/>
              </c:ext>
            </c:extLst>
          </c:dPt>
          <c:dPt>
            <c:idx val="2"/>
            <c:invertIfNegative val="0"/>
            <c:bubble3D val="0"/>
            <c:extLst xmlns:c16r2="http://schemas.microsoft.com/office/drawing/2015/06/chart">
              <c:ext xmlns:c16="http://schemas.microsoft.com/office/drawing/2014/chart" uri="{C3380CC4-5D6E-409C-BE32-E72D297353CC}">
                <c16:uniqueId val="{00000002-CFCE-4E06-8661-D156D5C7EF91}"/>
              </c:ext>
            </c:extLst>
          </c:dPt>
          <c:dLbls>
            <c:numFmt formatCode="0" sourceLinked="0"/>
            <c:spPr>
              <a:noFill/>
              <a:ln w="25400">
                <a:noFill/>
              </a:ln>
            </c:spPr>
            <c:txPr>
              <a:bodyPr wrap="square" lIns="38100" tIns="19050" rIns="38100" bIns="19050" anchor="t" anchorCtr="1">
                <a:spAutoFit/>
              </a:bodyPr>
              <a:lstStyle/>
              <a:p>
                <a:pPr>
                  <a:defRPr sz="1000"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BarType val="both"/>
            <c:errValType val="cust"/>
            <c:noEndCap val="0"/>
            <c:plus>
              <c:numRef>
                <c:f>'Campus site 1'!$I$570:$I$572</c:f>
                <c:numCache>
                  <c:formatCode>General</c:formatCode>
                  <c:ptCount val="3"/>
                  <c:pt idx="0">
                    <c:v>0</c:v>
                  </c:pt>
                  <c:pt idx="1">
                    <c:v>0</c:v>
                  </c:pt>
                  <c:pt idx="2">
                    <c:v>0</c:v>
                  </c:pt>
                </c:numCache>
              </c:numRef>
            </c:plus>
            <c:minus>
              <c:numRef>
                <c:f>'Campus site 1'!$I$570:$I$572</c:f>
                <c:numCache>
                  <c:formatCode>General</c:formatCode>
                  <c:ptCount val="3"/>
                  <c:pt idx="0">
                    <c:v>0</c:v>
                  </c:pt>
                  <c:pt idx="1">
                    <c:v>0</c:v>
                  </c:pt>
                  <c:pt idx="2">
                    <c:v>0</c:v>
                  </c:pt>
                </c:numCache>
              </c:numRef>
            </c:minus>
            <c:spPr>
              <a:ln w="12700">
                <a:solidFill>
                  <a:srgbClr val="000000"/>
                </a:solidFill>
                <a:prstDash val="solid"/>
              </a:ln>
            </c:spPr>
          </c:errBars>
          <c:cat>
            <c:strRef>
              <c:f>'Campus site 1'!$C$570:$C$572</c:f>
              <c:strCache>
                <c:ptCount val="3"/>
                <c:pt idx="0">
                  <c:v>Viandes et poissons</c:v>
                </c:pt>
                <c:pt idx="1">
                  <c:v>Autres produits alimentaires</c:v>
                </c:pt>
                <c:pt idx="2">
                  <c:v>Repas</c:v>
                </c:pt>
              </c:strCache>
            </c:strRef>
          </c:cat>
          <c:val>
            <c:numRef>
              <c:f>'Campus site 1'!$E$570:$E$572</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FCE-4E06-8661-D156D5C7EF91}"/>
            </c:ext>
          </c:extLst>
        </c:ser>
        <c:dLbls>
          <c:showLegendKey val="0"/>
          <c:showVal val="0"/>
          <c:showCatName val="0"/>
          <c:showSerName val="0"/>
          <c:showPercent val="0"/>
          <c:showBubbleSize val="0"/>
        </c:dLbls>
        <c:gapWidth val="150"/>
        <c:axId val="171205552"/>
        <c:axId val="171206112"/>
      </c:barChart>
      <c:catAx>
        <c:axId val="17120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1206112"/>
        <c:crosses val="autoZero"/>
        <c:auto val="1"/>
        <c:lblAlgn val="ctr"/>
        <c:lblOffset val="100"/>
        <c:tickLblSkip val="1"/>
        <c:tickMarkSkip val="1"/>
        <c:noMultiLvlLbl val="0"/>
      </c:catAx>
      <c:valAx>
        <c:axId val="17120611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1205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Restaurant Universitaire, économies et ém° résiduelles, tCO2e</a:t>
            </a:r>
            <a:endParaRPr lang="fr-FR" sz="1000" b="1" i="0" u="none" strike="noStrike" baseline="0">
              <a:solidFill>
                <a:srgbClr val="DD0806"/>
              </a:solidFill>
              <a:latin typeface="Verdana"/>
              <a:ea typeface="Verdana"/>
            </a:endParaRPr>
          </a:p>
        </c:rich>
      </c:tx>
      <c:layout>
        <c:manualLayout>
          <c:xMode val="edge"/>
          <c:yMode val="edge"/>
          <c:x val="0.17359049049504649"/>
          <c:y val="1.0204149340882951E-2"/>
        </c:manualLayout>
      </c:layout>
      <c:overlay val="0"/>
      <c:spPr>
        <a:noFill/>
        <a:ln w="25400">
          <a:noFill/>
        </a:ln>
      </c:spPr>
    </c:title>
    <c:autoTitleDeleted val="0"/>
    <c:plotArea>
      <c:layout>
        <c:manualLayout>
          <c:layoutTarget val="inner"/>
          <c:xMode val="edge"/>
          <c:yMode val="edge"/>
          <c:x val="3.8585243620488721E-2"/>
          <c:y val="8.5772748485295702E-2"/>
          <c:w val="0.95636282402211326"/>
          <c:h val="0.7739969446649303"/>
        </c:manualLayout>
      </c:layout>
      <c:barChart>
        <c:barDir val="col"/>
        <c:grouping val="stacked"/>
        <c:varyColors val="0"/>
        <c:ser>
          <c:idx val="1"/>
          <c:order val="0"/>
          <c:tx>
            <c:v>émissions résiduelles</c:v>
          </c:tx>
          <c:spPr>
            <a:solidFill>
              <a:schemeClr val="accent4">
                <a:lumMod val="50000"/>
              </a:schemeClr>
            </a:solidFill>
            <a:ln w="12700">
              <a:solidFill>
                <a:srgbClr val="000000"/>
              </a:solidFill>
              <a:prstDash val="solid"/>
            </a:ln>
          </c:spPr>
          <c:invertIfNegative val="0"/>
          <c:cat>
            <c:strRef>
              <c:f>'Campus site 1'!$C$570:$C$572</c:f>
              <c:strCache>
                <c:ptCount val="3"/>
                <c:pt idx="0">
                  <c:v>Viandes et poissons</c:v>
                </c:pt>
                <c:pt idx="1">
                  <c:v>Autres produits alimentaires</c:v>
                </c:pt>
                <c:pt idx="2">
                  <c:v>Repas</c:v>
                </c:pt>
              </c:strCache>
            </c:strRef>
          </c:cat>
          <c:val>
            <c:numRef>
              <c:f>'Campus site 1'!$O$570:$O$572</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E67C-4298-A107-BD37953160FA}"/>
            </c:ext>
          </c:extLst>
        </c:ser>
        <c:ser>
          <c:idx val="0"/>
          <c:order val="1"/>
          <c:tx>
            <c:v>réductions visées à long terme</c:v>
          </c:tx>
          <c:spPr>
            <a:solidFill>
              <a:srgbClr val="F6AB38"/>
            </a:solidFill>
            <a:ln w="12700">
              <a:solidFill>
                <a:srgbClr val="000000"/>
              </a:solidFill>
              <a:prstDash val="solid"/>
            </a:ln>
          </c:spPr>
          <c:invertIfNegative val="0"/>
          <c:cat>
            <c:strRef>
              <c:f>'Campus site 1'!$C$570:$C$572</c:f>
              <c:strCache>
                <c:ptCount val="3"/>
                <c:pt idx="0">
                  <c:v>Viandes et poissons</c:v>
                </c:pt>
                <c:pt idx="1">
                  <c:v>Autres produits alimentaires</c:v>
                </c:pt>
                <c:pt idx="2">
                  <c:v>Repas</c:v>
                </c:pt>
              </c:strCache>
            </c:strRef>
          </c:cat>
          <c:val>
            <c:numRef>
              <c:f>'Campus site 1'!$M$570:$M$572</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67C-4298-A107-BD37953160FA}"/>
            </c:ext>
          </c:extLst>
        </c:ser>
        <c:dLbls>
          <c:showLegendKey val="0"/>
          <c:showVal val="0"/>
          <c:showCatName val="0"/>
          <c:showSerName val="0"/>
          <c:showPercent val="0"/>
          <c:showBubbleSize val="0"/>
        </c:dLbls>
        <c:gapWidth val="150"/>
        <c:overlap val="100"/>
        <c:axId val="171668112"/>
        <c:axId val="171668672"/>
      </c:barChart>
      <c:catAx>
        <c:axId val="171668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1668672"/>
        <c:crosses val="autoZero"/>
        <c:auto val="1"/>
        <c:lblAlgn val="ctr"/>
        <c:lblOffset val="100"/>
        <c:tickLblSkip val="1"/>
        <c:tickMarkSkip val="1"/>
        <c:noMultiLvlLbl val="0"/>
      </c:catAx>
      <c:valAx>
        <c:axId val="1716686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1668112"/>
        <c:crosses val="autoZero"/>
        <c:crossBetween val="between"/>
      </c:valAx>
      <c:spPr>
        <a:noFill/>
        <a:ln w="25400">
          <a:noFill/>
        </a:ln>
      </c:spPr>
    </c:plotArea>
    <c:legend>
      <c:legendPos val="r"/>
      <c:layout>
        <c:manualLayout>
          <c:xMode val="edge"/>
          <c:yMode val="edge"/>
          <c:x val="6.6546997780669304E-2"/>
          <c:y val="9.1247968291239184E-2"/>
          <c:w val="0.46763294039112169"/>
          <c:h val="0.1276298327877554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Arial"/>
                <a:ea typeface="Arial"/>
                <a:cs typeface="Arial"/>
              </a:defRPr>
            </a:pPr>
            <a:r>
              <a:rPr lang="fr-FR" sz="1125" b="1" i="0" u="none" strike="noStrike" baseline="0">
                <a:solidFill>
                  <a:srgbClr val="000000"/>
                </a:solidFill>
                <a:latin typeface="Arial"/>
                <a:cs typeface="Arial"/>
              </a:rPr>
              <a:t>Emissions totales du campus par poste,</a:t>
            </a:r>
            <a:r>
              <a:rPr lang="fr-FR" sz="1125" b="1" i="0" u="none" strike="noStrike" baseline="0">
                <a:solidFill>
                  <a:sysClr val="windowText" lastClr="000000"/>
                </a:solidFill>
                <a:latin typeface="Arial"/>
                <a:cs typeface="Arial"/>
              </a:rPr>
              <a:t> tCO2e</a:t>
            </a:r>
          </a:p>
          <a:p>
            <a:pPr>
              <a:defRPr sz="950" b="0" i="0" u="none" strike="noStrike" baseline="0">
                <a:solidFill>
                  <a:srgbClr val="000000"/>
                </a:solidFill>
                <a:latin typeface="Arial"/>
                <a:ea typeface="Arial"/>
                <a:cs typeface="Arial"/>
              </a:defRPr>
            </a:pPr>
            <a:r>
              <a:rPr lang="fr-FR" sz="850" b="1" i="0" u="none" strike="noStrike" baseline="0">
                <a:solidFill>
                  <a:srgbClr val="000000"/>
                </a:solidFill>
                <a:latin typeface="Arial"/>
                <a:cs typeface="Arial"/>
              </a:rPr>
              <a:t>Réalisé dans le cadre de la démarche Bilan Carbone® Campus</a:t>
            </a:r>
          </a:p>
        </c:rich>
      </c:tx>
      <c:layout>
        <c:manualLayout>
          <c:xMode val="edge"/>
          <c:yMode val="edge"/>
          <c:x val="0.17397895823275791"/>
          <c:y val="3.3333333333333333E-2"/>
        </c:manualLayout>
      </c:layout>
      <c:overlay val="0"/>
      <c:spPr>
        <a:noFill/>
        <a:ln w="25400">
          <a:noFill/>
        </a:ln>
      </c:spPr>
    </c:title>
    <c:autoTitleDeleted val="0"/>
    <c:plotArea>
      <c:layout>
        <c:manualLayout>
          <c:layoutTarget val="inner"/>
          <c:xMode val="edge"/>
          <c:yMode val="edge"/>
          <c:x val="5.1437254335623059E-2"/>
          <c:y val="0.16944490409316432"/>
          <c:w val="0.9273834384628511"/>
          <c:h val="0.67500183105965461"/>
        </c:manualLayout>
      </c:layout>
      <c:barChart>
        <c:barDir val="col"/>
        <c:grouping val="clustered"/>
        <c:varyColors val="0"/>
        <c:ser>
          <c:idx val="0"/>
          <c:order val="0"/>
          <c:spPr>
            <a:solidFill>
              <a:srgbClr val="FF9900"/>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xmlns:c16r2="http://schemas.microsoft.com/office/drawing/2015/06/chart">
              <c:ext xmlns:c16="http://schemas.microsoft.com/office/drawing/2014/chart" uri="{C3380CC4-5D6E-409C-BE32-E72D297353CC}">
                <c16:uniqueId val="{00000001-4E12-406E-9D45-C5EF201FF9C0}"/>
              </c:ext>
            </c:extLst>
          </c:dPt>
          <c:dPt>
            <c:idx val="1"/>
            <c:invertIfNegative val="0"/>
            <c:bubble3D val="0"/>
            <c:spPr>
              <a:solidFill>
                <a:schemeClr val="tx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0-4E12-406E-9D45-C5EF201FF9C0}"/>
              </c:ext>
            </c:extLst>
          </c:dPt>
          <c:dPt>
            <c:idx val="2"/>
            <c:invertIfNegative val="0"/>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2-4E12-406E-9D45-C5EF201FF9C0}"/>
              </c:ext>
            </c:extLst>
          </c:dPt>
          <c:dPt>
            <c:idx val="3"/>
            <c:invertIfNegative val="0"/>
            <c:bubble3D val="0"/>
            <c:spPr>
              <a:solidFill>
                <a:schemeClr val="accent3">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4E12-406E-9D45-C5EF201FF9C0}"/>
              </c:ext>
            </c:extLst>
          </c:dPt>
          <c:dPt>
            <c:idx val="4"/>
            <c:invertIfNegative val="0"/>
            <c:bubble3D val="0"/>
            <c:spPr>
              <a:solidFill>
                <a:schemeClr val="accent4">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4-4E12-406E-9D45-C5EF201FF9C0}"/>
              </c:ext>
            </c:extLst>
          </c:dPt>
          <c:dPt>
            <c:idx val="5"/>
            <c:invertIfNegative val="0"/>
            <c:bubble3D val="0"/>
            <c:spPr>
              <a:solidFill>
                <a:schemeClr val="accent5">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4E12-406E-9D45-C5EF201FF9C0}"/>
              </c:ext>
            </c:extLst>
          </c:dPt>
          <c:dPt>
            <c:idx val="6"/>
            <c:invertIfNegative val="0"/>
            <c:bubble3D val="0"/>
            <c:spPr>
              <a:solidFill>
                <a:schemeClr val="accent6">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6-4E12-406E-9D45-C5EF201FF9C0}"/>
              </c:ext>
            </c:extLst>
          </c:dPt>
          <c:dLbls>
            <c:spPr>
              <a:noFill/>
              <a:ln w="25400">
                <a:noFill/>
              </a:ln>
            </c:spPr>
            <c:txPr>
              <a:bodyPr wrap="square" lIns="38100" tIns="19050" rIns="38100" bIns="19050" anchor="ctr">
                <a:spAutoFit/>
              </a:bodyPr>
              <a:lstStyle/>
              <a:p>
                <a:pPr>
                  <a:defRPr sz="95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BarType val="both"/>
            <c:errValType val="cust"/>
            <c:noEndCap val="0"/>
            <c:plus>
              <c:numRef>
                <c:f>Totalisateur!$K$8:$K$14</c:f>
                <c:numCache>
                  <c:formatCode>General</c:formatCode>
                  <c:ptCount val="7"/>
                </c:numCache>
              </c:numRef>
            </c:plus>
            <c:minus>
              <c:numRef>
                <c:f>Totalisateur!$K$8:$K$14</c:f>
                <c:numCache>
                  <c:formatCode>General</c:formatCode>
                  <c:ptCount val="7"/>
                </c:numCache>
              </c:numRef>
            </c:minus>
            <c:spPr>
              <a:ln w="12700">
                <a:solidFill>
                  <a:srgbClr val="000000"/>
                </a:solidFill>
                <a:prstDash val="solid"/>
              </a:ln>
            </c:spPr>
          </c:errBars>
          <c:cat>
            <c:strRef>
              <c:f>Totalisateur!$G$8:$G$14</c:f>
              <c:strCache>
                <c:ptCount val="7"/>
                <c:pt idx="0">
                  <c:v>Sources fixes</c:v>
                </c:pt>
                <c:pt idx="1">
                  <c:v>Fret</c:v>
                </c:pt>
                <c:pt idx="2">
                  <c:v>Déplacements de personnes</c:v>
                </c:pt>
                <c:pt idx="3">
                  <c:v>Consommables et matériaux</c:v>
                </c:pt>
                <c:pt idx="4">
                  <c:v>Restaurant universitaire</c:v>
                </c:pt>
                <c:pt idx="5">
                  <c:v>Déchêts directs</c:v>
                </c:pt>
                <c:pt idx="6">
                  <c:v>Immobilisations</c:v>
                </c:pt>
              </c:strCache>
            </c:strRef>
          </c:cat>
          <c:val>
            <c:numRef>
              <c:f>Totalisateur!$H$8:$H$14</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9DA2-4E85-B430-C4DBA6021C0D}"/>
            </c:ext>
          </c:extLst>
        </c:ser>
        <c:dLbls>
          <c:showLegendKey val="0"/>
          <c:showVal val="0"/>
          <c:showCatName val="0"/>
          <c:showSerName val="0"/>
          <c:showPercent val="0"/>
          <c:showBubbleSize val="0"/>
        </c:dLbls>
        <c:gapWidth val="150"/>
        <c:axId val="171670912"/>
        <c:axId val="171671472"/>
      </c:barChart>
      <c:catAx>
        <c:axId val="171670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1671472"/>
        <c:crosses val="autoZero"/>
        <c:auto val="0"/>
        <c:lblAlgn val="ctr"/>
        <c:lblOffset val="100"/>
        <c:tickLblSkip val="1"/>
        <c:tickMarkSkip val="1"/>
        <c:noMultiLvlLbl val="0"/>
      </c:catAx>
      <c:valAx>
        <c:axId val="1716714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71670912"/>
        <c:crosses val="autoZero"/>
        <c:crossBetween val="between"/>
      </c:valAx>
      <c:spPr>
        <a:noFill/>
        <a:ln w="25400">
          <a:noFill/>
        </a:ln>
      </c:spPr>
    </c:plotArea>
    <c:plotVisOnly val="1"/>
    <c:dispBlanksAs val="gap"/>
    <c:showDLblsOverMax val="0"/>
  </c:chart>
  <c:spPr>
    <a:solidFill>
      <a:srgbClr val="FFFFFF"/>
    </a:solidFill>
    <a:ln w="25400">
      <a:solidFill>
        <a:srgbClr val="F6AB38"/>
      </a:solidFill>
      <a:prstDash val="solid"/>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type de parcours, économies et ém° résiduelles, tCO2e</a:t>
            </a:r>
            <a:endParaRPr lang="fr-FR" sz="1000" b="1" i="0" u="none" strike="noStrike" baseline="0">
              <a:solidFill>
                <a:srgbClr val="DD0806"/>
              </a:solidFill>
              <a:latin typeface="Verdana"/>
              <a:ea typeface="Verdana"/>
            </a:endParaRPr>
          </a:p>
        </c:rich>
      </c:tx>
      <c:layout>
        <c:manualLayout>
          <c:xMode val="edge"/>
          <c:yMode val="edge"/>
          <c:x val="0.10236243597303642"/>
          <c:y val="1.0373478596074367E-2"/>
        </c:manualLayout>
      </c:layout>
      <c:overlay val="0"/>
      <c:spPr>
        <a:noFill/>
        <a:ln w="25400">
          <a:noFill/>
        </a:ln>
      </c:spPr>
    </c:title>
    <c:autoTitleDeleted val="0"/>
    <c:plotArea>
      <c:layout>
        <c:manualLayout>
          <c:layoutTarget val="inner"/>
          <c:xMode val="edge"/>
          <c:yMode val="edge"/>
          <c:x val="5.8823529411764705E-2"/>
          <c:y val="0.14574712678137305"/>
          <c:w val="0.9327731092436975"/>
          <c:h val="0.58173711464219147"/>
        </c:manualLayout>
      </c:layout>
      <c:barChart>
        <c:barDir val="col"/>
        <c:grouping val="stacked"/>
        <c:varyColors val="0"/>
        <c:ser>
          <c:idx val="1"/>
          <c:order val="0"/>
          <c:tx>
            <c:v>émissions résiduelles par parcours</c:v>
          </c:tx>
          <c:spPr>
            <a:solidFill>
              <a:schemeClr val="accent2">
                <a:lumMod val="50000"/>
              </a:schemeClr>
            </a:solidFill>
            <a:ln w="12700">
              <a:solidFill>
                <a:srgbClr val="000000"/>
              </a:solidFill>
              <a:prstDash val="solid"/>
            </a:ln>
          </c:spPr>
          <c:invertIfNegative val="0"/>
          <c:cat>
            <c:strRef>
              <c:f>'Campus site 1'!$C$293:$C$295</c:f>
              <c:strCache>
                <c:ptCount val="3"/>
                <c:pt idx="0">
                  <c:v>Déplacements domicile-travail</c:v>
                </c:pt>
                <c:pt idx="1">
                  <c:v>Déplacements professionnels hors domicile-travail</c:v>
                </c:pt>
                <c:pt idx="2">
                  <c:v>Déplacements des visiteurs</c:v>
                </c:pt>
              </c:strCache>
            </c:strRef>
          </c:cat>
          <c:val>
            <c:numRef>
              <c:f>'Campus site 1'!$P$293:$P$295</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0505-409D-8D5A-EF8F096DB8ED}"/>
            </c:ext>
          </c:extLst>
        </c:ser>
        <c:ser>
          <c:idx val="0"/>
          <c:order val="1"/>
          <c:tx>
            <c:v>réductions visées à long terme par parcours</c:v>
          </c:tx>
          <c:spPr>
            <a:solidFill>
              <a:srgbClr val="F6AB38"/>
            </a:solidFill>
            <a:ln w="12700">
              <a:solidFill>
                <a:srgbClr val="000000"/>
              </a:solidFill>
              <a:prstDash val="solid"/>
            </a:ln>
          </c:spPr>
          <c:invertIfNegative val="0"/>
          <c:cat>
            <c:strRef>
              <c:f>'Campus site 1'!$C$293:$C$295</c:f>
              <c:strCache>
                <c:ptCount val="3"/>
                <c:pt idx="0">
                  <c:v>Déplacements domicile-travail</c:v>
                </c:pt>
                <c:pt idx="1">
                  <c:v>Déplacements professionnels hors domicile-travail</c:v>
                </c:pt>
                <c:pt idx="2">
                  <c:v>Déplacements des visiteurs</c:v>
                </c:pt>
              </c:strCache>
            </c:strRef>
          </c:cat>
          <c:val>
            <c:numRef>
              <c:f>'Campus site 1'!$N$293:$N$295</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505-409D-8D5A-EF8F096DB8ED}"/>
            </c:ext>
          </c:extLst>
        </c:ser>
        <c:dLbls>
          <c:showLegendKey val="0"/>
          <c:showVal val="0"/>
          <c:showCatName val="0"/>
          <c:showSerName val="0"/>
          <c:showPercent val="0"/>
          <c:showBubbleSize val="0"/>
        </c:dLbls>
        <c:gapWidth val="150"/>
        <c:overlap val="100"/>
        <c:axId val="169740832"/>
        <c:axId val="169741392"/>
      </c:barChart>
      <c:catAx>
        <c:axId val="16974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69741392"/>
        <c:crosses val="autoZero"/>
        <c:auto val="1"/>
        <c:lblAlgn val="ctr"/>
        <c:lblOffset val="100"/>
        <c:tickLblSkip val="1"/>
        <c:tickMarkSkip val="1"/>
        <c:noMultiLvlLbl val="0"/>
      </c:catAx>
      <c:valAx>
        <c:axId val="16974139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69740832"/>
        <c:crosses val="autoZero"/>
        <c:crossBetween val="between"/>
      </c:valAx>
      <c:spPr>
        <a:noFill/>
        <a:ln w="25400">
          <a:noFill/>
        </a:ln>
      </c:spPr>
    </c:plotArea>
    <c:legend>
      <c:legendPos val="r"/>
      <c:layout>
        <c:manualLayout>
          <c:xMode val="edge"/>
          <c:yMode val="edge"/>
          <c:x val="1.1782117543677084E-2"/>
          <c:y val="0.1518989901543206"/>
          <c:w val="0.42120850532449966"/>
          <c:h val="0.1123418561443864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Arial"/>
                <a:ea typeface="Arial"/>
                <a:cs typeface="Arial"/>
              </a:defRPr>
            </a:pPr>
            <a:r>
              <a:rPr lang="fr-FR" sz="1150" b="1" i="0" u="none" strike="noStrike" baseline="0">
                <a:solidFill>
                  <a:srgbClr val="000000"/>
                </a:solidFill>
                <a:latin typeface="Arial"/>
                <a:cs typeface="Arial"/>
              </a:rPr>
              <a:t>Répartitions des émissions totales du campus par poste</a:t>
            </a:r>
            <a:endParaRPr lang="fr-FR" sz="1350" b="1" i="0" u="none" strike="noStrike" baseline="0">
              <a:solidFill>
                <a:srgbClr val="000000"/>
              </a:solidFill>
              <a:latin typeface="Arial"/>
              <a:cs typeface="Arial"/>
            </a:endParaRPr>
          </a:p>
          <a:p>
            <a:pPr>
              <a:defRPr sz="1075" b="0" i="0" u="none" strike="noStrike" baseline="0">
                <a:solidFill>
                  <a:srgbClr val="000000"/>
                </a:solidFill>
                <a:latin typeface="Arial"/>
                <a:ea typeface="Arial"/>
                <a:cs typeface="Arial"/>
              </a:defRPr>
            </a:pPr>
            <a:r>
              <a:rPr lang="fr-FR" sz="850" b="1" i="0" u="none" strike="noStrike" baseline="0">
                <a:solidFill>
                  <a:srgbClr val="000000"/>
                </a:solidFill>
                <a:latin typeface="Arial"/>
                <a:cs typeface="Arial"/>
              </a:rPr>
              <a:t>Réalisé dans le cadre de la démarche Bilan Carbone® Campus</a:t>
            </a:r>
          </a:p>
        </c:rich>
      </c:tx>
      <c:layout>
        <c:manualLayout>
          <c:xMode val="edge"/>
          <c:yMode val="edge"/>
          <c:x val="0.1259400578880209"/>
          <c:y val="2.9914473915129108E-2"/>
        </c:manualLayout>
      </c:layout>
      <c:overlay val="0"/>
      <c:spPr>
        <a:noFill/>
        <a:ln w="25400">
          <a:noFill/>
        </a:ln>
      </c:spPr>
    </c:title>
    <c:autoTitleDeleted val="0"/>
    <c:plotArea>
      <c:layout>
        <c:manualLayout>
          <c:layoutTarget val="inner"/>
          <c:xMode val="edge"/>
          <c:yMode val="edge"/>
          <c:x val="0.35947457798463983"/>
          <c:y val="0.19103277777777777"/>
          <c:w val="0.31373169718030119"/>
          <c:h val="0.68274222222222225"/>
        </c:manualLayout>
      </c:layout>
      <c:pieChart>
        <c:varyColors val="1"/>
        <c:ser>
          <c:idx val="0"/>
          <c:order val="0"/>
          <c:spPr>
            <a:solidFill>
              <a:srgbClr val="9999FF"/>
            </a:solidFill>
            <a:ln w="12700">
              <a:solidFill>
                <a:schemeClr val="bg1"/>
              </a:solidFill>
              <a:prstDash val="solid"/>
            </a:ln>
          </c:spPr>
          <c:dPt>
            <c:idx val="0"/>
            <c:bubble3D val="0"/>
            <c:spPr>
              <a:solidFill>
                <a:schemeClr val="tx1"/>
              </a:solidFill>
              <a:ln w="12700">
                <a:solidFill>
                  <a:schemeClr val="bg1"/>
                </a:solidFill>
                <a:prstDash val="solid"/>
              </a:ln>
            </c:spPr>
            <c:extLst xmlns:c16r2="http://schemas.microsoft.com/office/drawing/2015/06/chart">
              <c:ext xmlns:c16="http://schemas.microsoft.com/office/drawing/2014/chart" uri="{C3380CC4-5D6E-409C-BE32-E72D297353CC}">
                <c16:uniqueId val="{00000000-C0F0-45C2-BEEC-41D3A3921145}"/>
              </c:ext>
            </c:extLst>
          </c:dPt>
          <c:dPt>
            <c:idx val="1"/>
            <c:bubble3D val="0"/>
            <c:spPr>
              <a:solidFill>
                <a:schemeClr val="tx2">
                  <a:lumMod val="50000"/>
                </a:schemeClr>
              </a:solidFill>
              <a:ln w="12700">
                <a:solidFill>
                  <a:schemeClr val="bg1"/>
                </a:solidFill>
                <a:prstDash val="solid"/>
              </a:ln>
            </c:spPr>
            <c:extLst xmlns:c16r2="http://schemas.microsoft.com/office/drawing/2015/06/chart">
              <c:ext xmlns:c16="http://schemas.microsoft.com/office/drawing/2014/chart" uri="{C3380CC4-5D6E-409C-BE32-E72D297353CC}">
                <c16:uniqueId val="{00000001-C0F0-45C2-BEEC-41D3A3921145}"/>
              </c:ext>
            </c:extLst>
          </c:dPt>
          <c:dPt>
            <c:idx val="2"/>
            <c:bubble3D val="0"/>
            <c:spPr>
              <a:solidFill>
                <a:schemeClr val="accent2">
                  <a:lumMod val="50000"/>
                </a:schemeClr>
              </a:solidFill>
              <a:ln w="12700">
                <a:solidFill>
                  <a:schemeClr val="bg1"/>
                </a:solidFill>
                <a:prstDash val="solid"/>
              </a:ln>
            </c:spPr>
            <c:extLst xmlns:c16r2="http://schemas.microsoft.com/office/drawing/2015/06/chart">
              <c:ext xmlns:c16="http://schemas.microsoft.com/office/drawing/2014/chart" uri="{C3380CC4-5D6E-409C-BE32-E72D297353CC}">
                <c16:uniqueId val="{00000002-C0F0-45C2-BEEC-41D3A3921145}"/>
              </c:ext>
            </c:extLst>
          </c:dPt>
          <c:dPt>
            <c:idx val="3"/>
            <c:bubble3D val="0"/>
            <c:spPr>
              <a:solidFill>
                <a:schemeClr val="accent3">
                  <a:lumMod val="50000"/>
                </a:schemeClr>
              </a:solidFill>
              <a:ln w="12700">
                <a:solidFill>
                  <a:schemeClr val="bg1"/>
                </a:solidFill>
                <a:prstDash val="solid"/>
              </a:ln>
            </c:spPr>
            <c:extLst xmlns:c16r2="http://schemas.microsoft.com/office/drawing/2015/06/chart">
              <c:ext xmlns:c16="http://schemas.microsoft.com/office/drawing/2014/chart" uri="{C3380CC4-5D6E-409C-BE32-E72D297353CC}">
                <c16:uniqueId val="{00000003-C0F0-45C2-BEEC-41D3A3921145}"/>
              </c:ext>
            </c:extLst>
          </c:dPt>
          <c:dPt>
            <c:idx val="4"/>
            <c:bubble3D val="0"/>
            <c:spPr>
              <a:solidFill>
                <a:schemeClr val="accent4">
                  <a:lumMod val="50000"/>
                </a:schemeClr>
              </a:solidFill>
              <a:ln w="12700">
                <a:solidFill>
                  <a:schemeClr val="bg1"/>
                </a:solidFill>
                <a:prstDash val="solid"/>
              </a:ln>
            </c:spPr>
            <c:extLst xmlns:c16r2="http://schemas.microsoft.com/office/drawing/2015/06/chart">
              <c:ext xmlns:c16="http://schemas.microsoft.com/office/drawing/2014/chart" uri="{C3380CC4-5D6E-409C-BE32-E72D297353CC}">
                <c16:uniqueId val="{00000004-C0F0-45C2-BEEC-41D3A3921145}"/>
              </c:ext>
            </c:extLst>
          </c:dPt>
          <c:dPt>
            <c:idx val="5"/>
            <c:bubble3D val="0"/>
            <c:spPr>
              <a:solidFill>
                <a:srgbClr val="CCFFFF"/>
              </a:solidFill>
              <a:ln w="12700">
                <a:solidFill>
                  <a:schemeClr val="bg1"/>
                </a:solidFill>
                <a:prstDash val="solid"/>
              </a:ln>
            </c:spPr>
            <c:extLst xmlns:c16r2="http://schemas.microsoft.com/office/drawing/2015/06/chart">
              <c:ext xmlns:c16="http://schemas.microsoft.com/office/drawing/2014/chart" uri="{C3380CC4-5D6E-409C-BE32-E72D297353CC}">
                <c16:uniqueId val="{00000005-C0F0-45C2-BEEC-41D3A3921145}"/>
              </c:ext>
            </c:extLst>
          </c:dPt>
          <c:dPt>
            <c:idx val="6"/>
            <c:bubble3D val="0"/>
            <c:spPr>
              <a:solidFill>
                <a:schemeClr val="accent6">
                  <a:lumMod val="50000"/>
                </a:schemeClr>
              </a:solidFill>
              <a:ln w="12700">
                <a:solidFill>
                  <a:schemeClr val="bg1"/>
                </a:solidFill>
                <a:prstDash val="solid"/>
              </a:ln>
            </c:spPr>
            <c:extLst xmlns:c16r2="http://schemas.microsoft.com/office/drawing/2015/06/chart">
              <c:ext xmlns:c16="http://schemas.microsoft.com/office/drawing/2014/chart" uri="{C3380CC4-5D6E-409C-BE32-E72D297353CC}">
                <c16:uniqueId val="{00000006-C0F0-45C2-BEEC-41D3A3921145}"/>
              </c:ext>
            </c:extLst>
          </c:dPt>
          <c:dLbls>
            <c:dLbl>
              <c:idx val="1"/>
              <c:layout>
                <c:manualLayout>
                  <c:x val="0.17199932283731167"/>
                  <c:y val="3.527777777777765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0F0-45C2-BEEC-41D3A3921145}"/>
                </c:ext>
                <c:ext xmlns:c15="http://schemas.microsoft.com/office/drawing/2012/chart" uri="{CE6537A1-D6FC-4f65-9D91-7224C49458BB}"/>
              </c:extLst>
            </c:dLbl>
            <c:dLbl>
              <c:idx val="2"/>
              <c:layout>
                <c:manualLayout>
                  <c:x val="4.5529232515758924E-2"/>
                  <c:y val="4.938888888888889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0F0-45C2-BEEC-41D3A3921145}"/>
                </c:ext>
                <c:ext xmlns:c15="http://schemas.microsoft.com/office/drawing/2012/chart" uri="{CE6537A1-D6FC-4f65-9D91-7224C49458BB}"/>
              </c:extLst>
            </c:dLbl>
            <c:dLbl>
              <c:idx val="3"/>
              <c:layout>
                <c:manualLayout>
                  <c:x val="-0.12899949212798378"/>
                  <c:y val="7.0555555555555554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0F0-45C2-BEEC-41D3A3921145}"/>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fr-FR"/>
              </a:p>
            </c:txPr>
            <c:dLblPos val="outEnd"/>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Totalisateur!$G$8:$G$14</c:f>
              <c:strCache>
                <c:ptCount val="7"/>
                <c:pt idx="0">
                  <c:v>Sources fixes</c:v>
                </c:pt>
                <c:pt idx="1">
                  <c:v>Fret</c:v>
                </c:pt>
                <c:pt idx="2">
                  <c:v>Déplacements de personnes</c:v>
                </c:pt>
                <c:pt idx="3">
                  <c:v>Consommables et matériaux</c:v>
                </c:pt>
                <c:pt idx="4">
                  <c:v>Restaurant universitaire</c:v>
                </c:pt>
                <c:pt idx="5">
                  <c:v>Déchêts directs</c:v>
                </c:pt>
                <c:pt idx="6">
                  <c:v>Immobilisations</c:v>
                </c:pt>
              </c:strCache>
            </c:strRef>
          </c:cat>
          <c:val>
            <c:numRef>
              <c:f>Totalisateur!$I$8:$I$14</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7-C0F0-45C2-BEEC-41D3A392114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F6AB38"/>
      </a:solidFill>
      <a:prstDash val="solid"/>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sources fixes, tCO2e</a:t>
            </a:r>
            <a:endParaRPr lang="fr-FR" sz="1000" b="1" i="0" u="none" strike="noStrike" baseline="0">
              <a:solidFill>
                <a:srgbClr val="DD0806"/>
              </a:solidFill>
              <a:latin typeface="Verdana"/>
              <a:ea typeface="Verdana"/>
            </a:endParaRPr>
          </a:p>
        </c:rich>
      </c:tx>
      <c:layout>
        <c:manualLayout>
          <c:xMode val="edge"/>
          <c:yMode val="edge"/>
          <c:x val="0.21238958963607432"/>
          <c:y val="1.1062087066702869E-2"/>
        </c:manualLayout>
      </c:layout>
      <c:overlay val="0"/>
      <c:spPr>
        <a:noFill/>
        <a:ln w="25400">
          <a:noFill/>
        </a:ln>
      </c:spPr>
    </c:title>
    <c:autoTitleDeleted val="0"/>
    <c:plotArea>
      <c:layout>
        <c:manualLayout>
          <c:layoutTarget val="inner"/>
          <c:xMode val="edge"/>
          <c:yMode val="edge"/>
          <c:x val="3.469644843029792E-2"/>
          <c:y val="9.9593693616801676E-2"/>
          <c:w val="0.95043485521566085"/>
          <c:h val="0.83740003612494462"/>
        </c:manualLayout>
      </c:layout>
      <c:barChart>
        <c:barDir val="col"/>
        <c:grouping val="clustered"/>
        <c:varyColors val="0"/>
        <c:ser>
          <c:idx val="0"/>
          <c:order val="0"/>
          <c:spPr>
            <a:solidFill>
              <a:schemeClr val="tx1"/>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1'!$J$59:$J$61</c:f>
                <c:numCache>
                  <c:formatCode>General</c:formatCode>
                  <c:ptCount val="3"/>
                  <c:pt idx="0">
                    <c:v>0</c:v>
                  </c:pt>
                  <c:pt idx="1">
                    <c:v>0</c:v>
                  </c:pt>
                  <c:pt idx="2">
                    <c:v>0</c:v>
                  </c:pt>
                </c:numCache>
              </c:numRef>
            </c:plus>
            <c:minus>
              <c:numRef>
                <c:f>'Campus site 1'!$J$59:$J$61</c:f>
                <c:numCache>
                  <c:formatCode>General</c:formatCode>
                  <c:ptCount val="3"/>
                  <c:pt idx="0">
                    <c:v>0</c:v>
                  </c:pt>
                  <c:pt idx="1">
                    <c:v>0</c:v>
                  </c:pt>
                  <c:pt idx="2">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1'!$C$59:$C$61</c:f>
              <c:strCache>
                <c:ptCount val="3"/>
                <c:pt idx="0">
                  <c:v>Combustibles fossiles</c:v>
                </c:pt>
                <c:pt idx="1">
                  <c:v>Electricité</c:v>
                </c:pt>
                <c:pt idx="2">
                  <c:v>Fuites de fluides frigorigènes</c:v>
                </c:pt>
              </c:strCache>
            </c:strRef>
          </c:cat>
          <c:val>
            <c:numRef>
              <c:f>'Campus site 1'!$F$59:$F$61</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72DD-404F-9BF2-637FE62CD9A4}"/>
            </c:ext>
          </c:extLst>
        </c:ser>
        <c:dLbls>
          <c:showLegendKey val="0"/>
          <c:showVal val="0"/>
          <c:showCatName val="0"/>
          <c:showSerName val="0"/>
          <c:showPercent val="0"/>
          <c:showBubbleSize val="0"/>
        </c:dLbls>
        <c:gapWidth val="150"/>
        <c:axId val="169802592"/>
        <c:axId val="169803152"/>
      </c:barChart>
      <c:catAx>
        <c:axId val="169802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69803152"/>
        <c:crosses val="autoZero"/>
        <c:auto val="1"/>
        <c:lblAlgn val="ctr"/>
        <c:lblOffset val="100"/>
        <c:tickLblSkip val="1"/>
        <c:tickMarkSkip val="1"/>
        <c:noMultiLvlLbl val="0"/>
      </c:catAx>
      <c:valAx>
        <c:axId val="16980315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698025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oddFooter>&amp;LCalcul des émissions de gaz à effet de serre&amp;RRubrique &amp;A, page &amp;P, édité le &amp;D </c:oddFooter>
    </c:headerFooter>
    <c:pageMargins b="0.98425196899999956" l="0.78740157499999996" r="0.78740157499999996" t="0.98425196899999956" header="0.49212598450000289" footer="0.49212598450000289"/>
    <c:pageSetup paperSize="9" orientation="landscape"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sources fixes, réductions et ém° résiduelles, tCO2e</a:t>
            </a:r>
            <a:endParaRPr lang="fr-FR" sz="1000" b="1" i="0" u="none" strike="noStrike" baseline="0">
              <a:solidFill>
                <a:srgbClr val="DD0806"/>
              </a:solidFill>
              <a:latin typeface="Verdana"/>
              <a:ea typeface="Verdana"/>
            </a:endParaRPr>
          </a:p>
        </c:rich>
      </c:tx>
      <c:layout>
        <c:manualLayout>
          <c:xMode val="edge"/>
          <c:yMode val="edge"/>
          <c:x val="0.13131326340391197"/>
          <c:y val="1.382500678794461E-2"/>
        </c:manualLayout>
      </c:layout>
      <c:overlay val="0"/>
      <c:spPr>
        <a:noFill/>
        <a:ln w="25400">
          <a:noFill/>
        </a:ln>
      </c:spPr>
    </c:title>
    <c:autoTitleDeleted val="0"/>
    <c:plotArea>
      <c:layout>
        <c:manualLayout>
          <c:layoutTarget val="inner"/>
          <c:xMode val="edge"/>
          <c:yMode val="edge"/>
          <c:x val="3.5398230088495575E-2"/>
          <c:y val="7.7235925662009458E-2"/>
          <c:w val="0.96207332490518327"/>
          <c:h val="0.85772527972021029"/>
        </c:manualLayout>
      </c:layout>
      <c:barChart>
        <c:barDir val="col"/>
        <c:grouping val="stacked"/>
        <c:varyColors val="0"/>
        <c:ser>
          <c:idx val="1"/>
          <c:order val="0"/>
          <c:tx>
            <c:v>émissions résiduelles</c:v>
          </c:tx>
          <c:spPr>
            <a:solidFill>
              <a:schemeClr val="tx1"/>
            </a:solidFill>
            <a:ln w="12700">
              <a:solidFill>
                <a:srgbClr val="000000"/>
              </a:solidFill>
              <a:prstDash val="solid"/>
            </a:ln>
          </c:spPr>
          <c:invertIfNegative val="0"/>
          <c:cat>
            <c:strRef>
              <c:f>'Campus site 1'!$C$59:$C$61</c:f>
              <c:strCache>
                <c:ptCount val="3"/>
                <c:pt idx="0">
                  <c:v>Combustibles fossiles</c:v>
                </c:pt>
                <c:pt idx="1">
                  <c:v>Electricité</c:v>
                </c:pt>
                <c:pt idx="2">
                  <c:v>Fuites de fluides frigorigènes</c:v>
                </c:pt>
              </c:strCache>
            </c:strRef>
          </c:cat>
          <c:val>
            <c:numRef>
              <c:f>'Campus site 1'!$P$59:$P$61</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F60C-4C50-8E29-613D71C92015}"/>
            </c:ext>
          </c:extLst>
        </c:ser>
        <c:ser>
          <c:idx val="0"/>
          <c:order val="1"/>
          <c:tx>
            <c:v>réductions visées à long terme</c:v>
          </c:tx>
          <c:spPr>
            <a:solidFill>
              <a:srgbClr val="F6AB38"/>
            </a:solidFill>
            <a:ln w="12700">
              <a:solidFill>
                <a:srgbClr val="000000"/>
              </a:solidFill>
              <a:prstDash val="solid"/>
            </a:ln>
          </c:spPr>
          <c:invertIfNegative val="0"/>
          <c:cat>
            <c:strRef>
              <c:f>'Campus site 1'!$C$59:$C$61</c:f>
              <c:strCache>
                <c:ptCount val="3"/>
                <c:pt idx="0">
                  <c:v>Combustibles fossiles</c:v>
                </c:pt>
                <c:pt idx="1">
                  <c:v>Electricité</c:v>
                </c:pt>
                <c:pt idx="2">
                  <c:v>Fuites de fluides frigorigènes</c:v>
                </c:pt>
              </c:strCache>
            </c:strRef>
          </c:cat>
          <c:val>
            <c:numRef>
              <c:f>'Campus site 1'!$N$59:$N$61</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F60C-4C50-8E29-613D71C92015}"/>
            </c:ext>
          </c:extLst>
        </c:ser>
        <c:dLbls>
          <c:showLegendKey val="0"/>
          <c:showVal val="0"/>
          <c:showCatName val="0"/>
          <c:showSerName val="0"/>
          <c:showPercent val="0"/>
          <c:showBubbleSize val="0"/>
        </c:dLbls>
        <c:gapWidth val="150"/>
        <c:overlap val="100"/>
        <c:axId val="169805952"/>
        <c:axId val="169806512"/>
      </c:barChart>
      <c:catAx>
        <c:axId val="169805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69806512"/>
        <c:crosses val="autoZero"/>
        <c:auto val="1"/>
        <c:lblAlgn val="ctr"/>
        <c:lblOffset val="100"/>
        <c:tickLblSkip val="1"/>
        <c:tickMarkSkip val="1"/>
        <c:noMultiLvlLbl val="0"/>
      </c:catAx>
      <c:valAx>
        <c:axId val="16980651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69805952"/>
        <c:crosses val="autoZero"/>
        <c:crossBetween val="between"/>
      </c:valAx>
      <c:spPr>
        <a:noFill/>
        <a:ln w="25400">
          <a:noFill/>
        </a:ln>
      </c:spPr>
    </c:plotArea>
    <c:legend>
      <c:legendPos val="r"/>
      <c:layout>
        <c:manualLayout>
          <c:xMode val="edge"/>
          <c:yMode val="edge"/>
          <c:x val="0.57395982304332105"/>
          <c:y val="7.4964702688026061E-2"/>
          <c:w val="0.41984098939929326"/>
          <c:h val="0.1117399764684586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200" b="1" i="0" u="none" strike="noStrike" baseline="0">
                <a:solidFill>
                  <a:srgbClr val="000000"/>
                </a:solidFill>
                <a:latin typeface="Verdana"/>
                <a:ea typeface="Verdana"/>
              </a:rPr>
              <a:t>Site 1 Campus fret, tCO2e</a:t>
            </a:r>
            <a:endParaRPr lang="fr-FR" sz="1200" b="1" i="0" u="none" strike="noStrike" baseline="0">
              <a:solidFill>
                <a:srgbClr val="DD0806"/>
              </a:solidFill>
              <a:latin typeface="Verdana"/>
              <a:ea typeface="Verdana"/>
            </a:endParaRPr>
          </a:p>
        </c:rich>
      </c:tx>
      <c:layout>
        <c:manualLayout>
          <c:xMode val="edge"/>
          <c:yMode val="edge"/>
          <c:x val="0.26452643419572552"/>
          <c:y val="1.0940944881889764E-2"/>
        </c:manualLayout>
      </c:layout>
      <c:overlay val="0"/>
      <c:spPr>
        <a:noFill/>
        <a:ln w="25400">
          <a:noFill/>
        </a:ln>
      </c:spPr>
    </c:title>
    <c:autoTitleDeleted val="0"/>
    <c:plotArea>
      <c:layout>
        <c:manualLayout>
          <c:layoutTarget val="inner"/>
          <c:xMode val="edge"/>
          <c:yMode val="edge"/>
          <c:x val="5.19802294318953E-2"/>
          <c:y val="0.1208335791698795"/>
          <c:w val="0.93811937879468188"/>
          <c:h val="0.79375161489179458"/>
        </c:manualLayout>
      </c:layout>
      <c:barChart>
        <c:barDir val="col"/>
        <c:grouping val="clustered"/>
        <c:varyColors val="0"/>
        <c:ser>
          <c:idx val="0"/>
          <c:order val="0"/>
          <c:spPr>
            <a:solidFill>
              <a:schemeClr val="tx2">
                <a:lumMod val="50000"/>
              </a:schemeClr>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1'!$J$165:$J$168</c:f>
                <c:numCache>
                  <c:formatCode>General</c:formatCode>
                  <c:ptCount val="4"/>
                  <c:pt idx="0">
                    <c:v>0</c:v>
                  </c:pt>
                  <c:pt idx="1">
                    <c:v>0</c:v>
                  </c:pt>
                  <c:pt idx="2">
                    <c:v>0</c:v>
                  </c:pt>
                  <c:pt idx="3">
                    <c:v>0</c:v>
                  </c:pt>
                </c:numCache>
              </c:numRef>
            </c:plus>
            <c:minus>
              <c:numRef>
                <c:f>'Campus site 1'!$J$165:$J$168</c:f>
                <c:numCache>
                  <c:formatCode>General</c:formatCode>
                  <c:ptCount val="4"/>
                  <c:pt idx="0">
                    <c:v>0</c:v>
                  </c:pt>
                  <c:pt idx="1">
                    <c:v>0</c:v>
                  </c:pt>
                  <c:pt idx="2">
                    <c:v>0</c:v>
                  </c:pt>
                  <c:pt idx="3">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1'!$C$165:$C$168</c:f>
              <c:strCache>
                <c:ptCount val="4"/>
                <c:pt idx="0">
                  <c:v>Fret routier</c:v>
                </c:pt>
                <c:pt idx="1">
                  <c:v>Fret aérien</c:v>
                </c:pt>
                <c:pt idx="2">
                  <c:v>Fret ferroviaire</c:v>
                </c:pt>
                <c:pt idx="3">
                  <c:v>Fret maritime</c:v>
                </c:pt>
              </c:strCache>
            </c:strRef>
          </c:cat>
          <c:val>
            <c:numRef>
              <c:f>'Campus site 1'!$F$165:$F$168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8C80-4A9D-B80C-E1D7CF28A67B}"/>
            </c:ext>
          </c:extLst>
        </c:ser>
        <c:dLbls>
          <c:showLegendKey val="0"/>
          <c:showVal val="0"/>
          <c:showCatName val="0"/>
          <c:showSerName val="0"/>
          <c:showPercent val="0"/>
          <c:showBubbleSize val="0"/>
        </c:dLbls>
        <c:gapWidth val="150"/>
        <c:axId val="170458768"/>
        <c:axId val="170459328"/>
      </c:barChart>
      <c:catAx>
        <c:axId val="170458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459328"/>
        <c:crosses val="autoZero"/>
        <c:auto val="1"/>
        <c:lblAlgn val="ctr"/>
        <c:lblOffset val="100"/>
        <c:tickLblSkip val="1"/>
        <c:tickMarkSkip val="1"/>
        <c:noMultiLvlLbl val="0"/>
      </c:catAx>
      <c:valAx>
        <c:axId val="170459328"/>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4587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fret, Economies et ém° résiduelles, tCO2e</a:t>
            </a:r>
            <a:endParaRPr lang="fr-FR" sz="1000" b="1" i="0" u="none" strike="noStrike" baseline="0">
              <a:solidFill>
                <a:srgbClr val="DD0806"/>
              </a:solidFill>
              <a:latin typeface="Verdana"/>
              <a:ea typeface="Verdana"/>
            </a:endParaRPr>
          </a:p>
        </c:rich>
      </c:tx>
      <c:layout>
        <c:manualLayout>
          <c:xMode val="edge"/>
          <c:yMode val="edge"/>
          <c:x val="0.28851580196311077"/>
          <c:y val="1.0395088279163344E-2"/>
        </c:manualLayout>
      </c:layout>
      <c:overlay val="0"/>
      <c:spPr>
        <a:noFill/>
        <a:ln w="25400">
          <a:noFill/>
        </a:ln>
      </c:spPr>
    </c:title>
    <c:autoTitleDeleted val="0"/>
    <c:plotArea>
      <c:layout>
        <c:manualLayout>
          <c:layoutTarget val="inner"/>
          <c:xMode val="edge"/>
          <c:yMode val="edge"/>
          <c:x val="3.92157399112339E-2"/>
          <c:y val="5.1975104736942015E-2"/>
          <c:w val="0.96078562782523058"/>
          <c:h val="0.87110275539114823"/>
        </c:manualLayout>
      </c:layout>
      <c:barChart>
        <c:barDir val="col"/>
        <c:grouping val="stacked"/>
        <c:varyColors val="0"/>
        <c:ser>
          <c:idx val="1"/>
          <c:order val="0"/>
          <c:tx>
            <c:v>émissions résiduelles</c:v>
          </c:tx>
          <c:spPr>
            <a:solidFill>
              <a:schemeClr val="tx2">
                <a:lumMod val="50000"/>
              </a:schemeClr>
            </a:solidFill>
            <a:ln w="12700">
              <a:solidFill>
                <a:srgbClr val="000000"/>
              </a:solidFill>
              <a:prstDash val="solid"/>
            </a:ln>
          </c:spPr>
          <c:invertIfNegative val="0"/>
          <c:cat>
            <c:strRef>
              <c:f>'Campus site 1'!$C$165:$C$168</c:f>
              <c:strCache>
                <c:ptCount val="4"/>
                <c:pt idx="0">
                  <c:v>Fret routier</c:v>
                </c:pt>
                <c:pt idx="1">
                  <c:v>Fret aérien</c:v>
                </c:pt>
                <c:pt idx="2">
                  <c:v>Fret ferroviaire</c:v>
                </c:pt>
                <c:pt idx="3">
                  <c:v>Fret maritime</c:v>
                </c:pt>
              </c:strCache>
            </c:strRef>
          </c:cat>
          <c:val>
            <c:numRef>
              <c:f>'Campus site 1'!$P$165:$P$168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7750-4EAF-820B-E477D4162219}"/>
            </c:ext>
          </c:extLst>
        </c:ser>
        <c:ser>
          <c:idx val="0"/>
          <c:order val="1"/>
          <c:tx>
            <c:v>réductions visées à long terme</c:v>
          </c:tx>
          <c:spPr>
            <a:solidFill>
              <a:srgbClr val="F6AB38"/>
            </a:solidFill>
            <a:ln w="12700">
              <a:solidFill>
                <a:srgbClr val="000000"/>
              </a:solidFill>
              <a:prstDash val="solid"/>
            </a:ln>
          </c:spPr>
          <c:invertIfNegative val="0"/>
          <c:cat>
            <c:strRef>
              <c:f>'Campus site 1'!$C$165:$C$168</c:f>
              <c:strCache>
                <c:ptCount val="4"/>
                <c:pt idx="0">
                  <c:v>Fret routier</c:v>
                </c:pt>
                <c:pt idx="1">
                  <c:v>Fret aérien</c:v>
                </c:pt>
                <c:pt idx="2">
                  <c:v>Fret ferroviaire</c:v>
                </c:pt>
                <c:pt idx="3">
                  <c:v>Fret maritime</c:v>
                </c:pt>
              </c:strCache>
            </c:strRef>
          </c:cat>
          <c:val>
            <c:numRef>
              <c:f>'Campus site 1'!$N$165:$N$168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7750-4EAF-820B-E477D4162219}"/>
            </c:ext>
          </c:extLst>
        </c:ser>
        <c:dLbls>
          <c:showLegendKey val="0"/>
          <c:showVal val="0"/>
          <c:showCatName val="0"/>
          <c:showSerName val="0"/>
          <c:showPercent val="0"/>
          <c:showBubbleSize val="0"/>
        </c:dLbls>
        <c:gapWidth val="150"/>
        <c:overlap val="100"/>
        <c:axId val="170462128"/>
        <c:axId val="170462688"/>
      </c:barChart>
      <c:catAx>
        <c:axId val="170462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462688"/>
        <c:crosses val="autoZero"/>
        <c:auto val="1"/>
        <c:lblAlgn val="ctr"/>
        <c:lblOffset val="100"/>
        <c:tickLblSkip val="1"/>
        <c:tickMarkSkip val="1"/>
        <c:noMultiLvlLbl val="0"/>
      </c:catAx>
      <c:valAx>
        <c:axId val="17046268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462128"/>
        <c:crosses val="autoZero"/>
        <c:crossBetween val="between"/>
      </c:valAx>
      <c:spPr>
        <a:noFill/>
        <a:ln w="25400">
          <a:noFill/>
        </a:ln>
      </c:spPr>
    </c:plotArea>
    <c:legend>
      <c:legendPos val="r"/>
      <c:layout>
        <c:manualLayout>
          <c:xMode val="edge"/>
          <c:yMode val="edge"/>
          <c:x val="0.55937239009507367"/>
          <c:y val="5.4993004729034421E-2"/>
          <c:w val="0.43375887945513658"/>
          <c:h val="0.128799241504503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déchets directs, tCO2e</a:t>
            </a:r>
            <a:endParaRPr lang="fr-FR" sz="1000" b="1" i="0" u="none" strike="noStrike" baseline="0">
              <a:solidFill>
                <a:srgbClr val="DD0806"/>
              </a:solidFill>
              <a:latin typeface="Verdana"/>
              <a:ea typeface="Verdana"/>
            </a:endParaRPr>
          </a:p>
        </c:rich>
      </c:tx>
      <c:layout>
        <c:manualLayout>
          <c:xMode val="edge"/>
          <c:yMode val="edge"/>
          <c:x val="0.23723760679091177"/>
          <c:y val="2.9914619106346647E-2"/>
        </c:manualLayout>
      </c:layout>
      <c:overlay val="0"/>
      <c:spPr>
        <a:noFill/>
        <a:ln w="25400">
          <a:noFill/>
        </a:ln>
      </c:spPr>
    </c:title>
    <c:autoTitleDeleted val="0"/>
    <c:plotArea>
      <c:layout>
        <c:manualLayout>
          <c:layoutTarget val="inner"/>
          <c:xMode val="edge"/>
          <c:yMode val="edge"/>
          <c:x val="3.9653083920340476E-2"/>
          <c:y val="0.11752161275042725"/>
          <c:w val="0.95539149070570339"/>
          <c:h val="0.80769399308475454"/>
        </c:manualLayout>
      </c:layout>
      <c:barChart>
        <c:barDir val="col"/>
        <c:grouping val="clustered"/>
        <c:varyColors val="0"/>
        <c:ser>
          <c:idx val="0"/>
          <c:order val="0"/>
          <c:spPr>
            <a:gradFill rotWithShape="0">
              <a:gsLst>
                <a:gs pos="0">
                  <a:srgbClr val="DD0806">
                    <a:gamma/>
                    <a:shade val="46275"/>
                    <a:invGamma/>
                  </a:srgbClr>
                </a:gs>
                <a:gs pos="100000">
                  <a:srgbClr val="DD0806"/>
                </a:gs>
              </a:gsLst>
              <a:lin ang="5400000" scaled="1"/>
            </a:gradFill>
            <a:ln w="12700">
              <a:solidFill>
                <a:srgbClr val="000000"/>
              </a:solidFill>
              <a:prstDash val="solid"/>
            </a:ln>
          </c:spPr>
          <c:invertIfNegative val="0"/>
          <c:dPt>
            <c:idx val="0"/>
            <c:invertIfNegative val="0"/>
            <c:bubble3D val="0"/>
            <c:spPr>
              <a:solidFill>
                <a:schemeClr val="accent5">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0-5BB0-45FB-9993-6326DB2D91D6}"/>
              </c:ext>
            </c:extLst>
          </c:dPt>
          <c:dLbls>
            <c:numFmt formatCode="#,##0" sourceLinked="0"/>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1'!$J$649:$J$649</c:f>
                <c:numCache>
                  <c:formatCode>General</c:formatCode>
                  <c:ptCount val="1"/>
                  <c:pt idx="0">
                    <c:v>0</c:v>
                  </c:pt>
                </c:numCache>
              </c:numRef>
            </c:plus>
            <c:minus>
              <c:numRef>
                <c:f>'Campus site 1'!$J$649:$J$649</c:f>
                <c:numCache>
                  <c:formatCode>General</c:formatCode>
                  <c:ptCount val="1"/>
                  <c:pt idx="0">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1'!$C$649:$C$650</c:f>
              <c:strCache>
                <c:ptCount val="2"/>
                <c:pt idx="0">
                  <c:v>Déchets</c:v>
                </c:pt>
                <c:pt idx="1">
                  <c:v>Eaux usées</c:v>
                </c:pt>
              </c:strCache>
            </c:strRef>
          </c:cat>
          <c:val>
            <c:numRef>
              <c:f>'Campus site 1'!$F$649:$F$650</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A935-488B-8829-823ABC51D843}"/>
            </c:ext>
          </c:extLst>
        </c:ser>
        <c:dLbls>
          <c:showLegendKey val="0"/>
          <c:showVal val="0"/>
          <c:showCatName val="0"/>
          <c:showSerName val="0"/>
          <c:showPercent val="0"/>
          <c:showBubbleSize val="0"/>
        </c:dLbls>
        <c:gapWidth val="150"/>
        <c:axId val="170464928"/>
        <c:axId val="170465488"/>
      </c:barChart>
      <c:catAx>
        <c:axId val="170464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465488"/>
        <c:crosses val="autoZero"/>
        <c:auto val="1"/>
        <c:lblAlgn val="ctr"/>
        <c:lblOffset val="100"/>
        <c:tickLblSkip val="1"/>
        <c:tickMarkSkip val="1"/>
        <c:noMultiLvlLbl val="0"/>
      </c:catAx>
      <c:valAx>
        <c:axId val="170465488"/>
        <c:scaling>
          <c:orientation val="minMax"/>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4649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5" footer="0.5"/>
    <c:pageSetup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déchets, économies et ém° résiduelles, tCO2e</a:t>
            </a:r>
            <a:endParaRPr lang="fr-FR" sz="1000" b="1" i="0" u="none" strike="noStrike" baseline="0">
              <a:solidFill>
                <a:srgbClr val="DD0806"/>
              </a:solidFill>
              <a:latin typeface="Verdana"/>
              <a:ea typeface="Verdana"/>
            </a:endParaRPr>
          </a:p>
        </c:rich>
      </c:tx>
      <c:layout>
        <c:manualLayout>
          <c:xMode val="edge"/>
          <c:yMode val="edge"/>
          <c:x val="0.17359061163419831"/>
          <c:y val="1.0204154344960274E-2"/>
        </c:manualLayout>
      </c:layout>
      <c:overlay val="0"/>
      <c:spPr>
        <a:noFill/>
        <a:ln w="25400">
          <a:noFill/>
        </a:ln>
      </c:spPr>
    </c:title>
    <c:autoTitleDeleted val="0"/>
    <c:plotArea>
      <c:layout>
        <c:manualLayout>
          <c:layoutTarget val="inner"/>
          <c:xMode val="edge"/>
          <c:yMode val="edge"/>
          <c:x val="3.8461538461538464E-2"/>
          <c:y val="7.4946466809421838E-2"/>
          <c:w val="0.95604395604395609"/>
          <c:h val="0.8501070663811563"/>
        </c:manualLayout>
      </c:layout>
      <c:barChart>
        <c:barDir val="col"/>
        <c:grouping val="stacked"/>
        <c:varyColors val="0"/>
        <c:ser>
          <c:idx val="1"/>
          <c:order val="0"/>
          <c:tx>
            <c:v>émissions résiduelles</c:v>
          </c:tx>
          <c:spPr>
            <a:solidFill>
              <a:schemeClr val="accent5">
                <a:lumMod val="50000"/>
              </a:schemeClr>
            </a:solidFill>
            <a:ln w="12700">
              <a:solidFill>
                <a:srgbClr val="000000"/>
              </a:solidFill>
              <a:prstDash val="solid"/>
            </a:ln>
          </c:spPr>
          <c:invertIfNegative val="0"/>
          <c:cat>
            <c:strRef>
              <c:f>'Campus site 1'!$C$649:$C$650</c:f>
              <c:strCache>
                <c:ptCount val="2"/>
                <c:pt idx="0">
                  <c:v>Déchets</c:v>
                </c:pt>
                <c:pt idx="1">
                  <c:v>Eaux usées</c:v>
                </c:pt>
              </c:strCache>
            </c:strRef>
          </c:cat>
          <c:val>
            <c:numRef>
              <c:f>'Campus site 1'!$P$649:$P$650</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C85D-4002-8A00-DA68744F021C}"/>
            </c:ext>
          </c:extLst>
        </c:ser>
        <c:ser>
          <c:idx val="0"/>
          <c:order val="1"/>
          <c:tx>
            <c:v>réductions visées à long terme</c:v>
          </c:tx>
          <c:spPr>
            <a:solidFill>
              <a:srgbClr val="F6AB38"/>
            </a:solidFill>
            <a:ln w="12700">
              <a:solidFill>
                <a:srgbClr val="000000"/>
              </a:solidFill>
              <a:prstDash val="solid"/>
            </a:ln>
          </c:spPr>
          <c:invertIfNegative val="0"/>
          <c:cat>
            <c:strRef>
              <c:f>'Campus site 1'!$C$649:$C$650</c:f>
              <c:strCache>
                <c:ptCount val="2"/>
                <c:pt idx="0">
                  <c:v>Déchets</c:v>
                </c:pt>
                <c:pt idx="1">
                  <c:v>Eaux usées</c:v>
                </c:pt>
              </c:strCache>
            </c:strRef>
          </c:cat>
          <c:val>
            <c:numRef>
              <c:f>'Campus site 1'!$N$649:$N$650</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1-C85D-4002-8A00-DA68744F021C}"/>
            </c:ext>
          </c:extLst>
        </c:ser>
        <c:dLbls>
          <c:showLegendKey val="0"/>
          <c:showVal val="0"/>
          <c:showCatName val="0"/>
          <c:showSerName val="0"/>
          <c:showPercent val="0"/>
          <c:showBubbleSize val="0"/>
        </c:dLbls>
        <c:gapWidth val="150"/>
        <c:overlap val="100"/>
        <c:axId val="170388736"/>
        <c:axId val="170389296"/>
      </c:barChart>
      <c:catAx>
        <c:axId val="17038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389296"/>
        <c:crosses val="autoZero"/>
        <c:auto val="1"/>
        <c:lblAlgn val="ctr"/>
        <c:lblOffset val="100"/>
        <c:tickLblSkip val="1"/>
        <c:tickMarkSkip val="1"/>
        <c:noMultiLvlLbl val="0"/>
      </c:catAx>
      <c:valAx>
        <c:axId val="1703892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388736"/>
        <c:crosses val="autoZero"/>
        <c:crossBetween val="between"/>
      </c:valAx>
      <c:spPr>
        <a:noFill/>
        <a:ln w="25400">
          <a:noFill/>
        </a:ln>
      </c:spPr>
    </c:plotArea>
    <c:legend>
      <c:legendPos val="r"/>
      <c:layout>
        <c:manualLayout>
          <c:xMode val="edge"/>
          <c:yMode val="edge"/>
          <c:x val="5.6785406622636661E-2"/>
          <c:y val="0.14285744824883315"/>
          <c:w val="0.46583311922861848"/>
          <c:h val="0.1354169190389662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immobilisations, tCO2e</a:t>
            </a:r>
            <a:endParaRPr lang="fr-FR" sz="1000" b="1" i="0" u="none" strike="noStrike" baseline="0">
              <a:solidFill>
                <a:srgbClr val="DD0806"/>
              </a:solidFill>
              <a:latin typeface="Verdana"/>
              <a:ea typeface="Verdana"/>
            </a:endParaRPr>
          </a:p>
        </c:rich>
      </c:tx>
      <c:layout>
        <c:manualLayout>
          <c:xMode val="edge"/>
          <c:yMode val="edge"/>
          <c:x val="0.1897712065467799"/>
          <c:y val="3.2995070738108957E-2"/>
        </c:manualLayout>
      </c:layout>
      <c:overlay val="0"/>
      <c:spPr>
        <a:noFill/>
        <a:ln w="25400">
          <a:noFill/>
        </a:ln>
      </c:spPr>
    </c:title>
    <c:autoTitleDeleted val="0"/>
    <c:plotArea>
      <c:layout>
        <c:manualLayout>
          <c:layoutTarget val="inner"/>
          <c:xMode val="edge"/>
          <c:yMode val="edge"/>
          <c:x val="3.4869240348692404E-2"/>
          <c:y val="0.10804597701149425"/>
          <c:w val="0.96014943960149435"/>
          <c:h val="0.81149425287356325"/>
        </c:manualLayout>
      </c:layout>
      <c:barChart>
        <c:barDir val="col"/>
        <c:grouping val="clustered"/>
        <c:varyColors val="0"/>
        <c:ser>
          <c:idx val="0"/>
          <c:order val="0"/>
          <c:spPr>
            <a:solidFill>
              <a:schemeClr val="accent6">
                <a:lumMod val="5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1'!$I$748:$I$750</c:f>
                <c:numCache>
                  <c:formatCode>General</c:formatCode>
                  <c:ptCount val="3"/>
                  <c:pt idx="0">
                    <c:v>0</c:v>
                  </c:pt>
                  <c:pt idx="1">
                    <c:v>0</c:v>
                  </c:pt>
                  <c:pt idx="2">
                    <c:v>0</c:v>
                  </c:pt>
                </c:numCache>
              </c:numRef>
            </c:plus>
            <c:minus>
              <c:numRef>
                <c:f>'Campus site 1'!$I$748:$I$750</c:f>
                <c:numCache>
                  <c:formatCode>General</c:formatCode>
                  <c:ptCount val="3"/>
                  <c:pt idx="0">
                    <c:v>0</c:v>
                  </c:pt>
                  <c:pt idx="1">
                    <c:v>0</c:v>
                  </c:pt>
                  <c:pt idx="2">
                    <c:v>0</c:v>
                  </c:pt>
                </c:numCache>
              </c:numRef>
            </c:minus>
            <c:spPr>
              <a:gradFill>
                <a:gsLst>
                  <a:gs pos="0">
                    <a:srgbClr val="800000"/>
                  </a:gs>
                  <a:gs pos="100000">
                    <a:srgbClr val="FF0000"/>
                  </a:gs>
                </a:gsLst>
                <a:lin ang="5400000" scaled="0"/>
              </a:gradFill>
              <a:ln w="12700">
                <a:solidFill>
                  <a:srgbClr val="000000"/>
                </a:solidFill>
                <a:prstDash val="solid"/>
              </a:ln>
            </c:spPr>
          </c:errBars>
          <c:cat>
            <c:strRef>
              <c:f>'Campus site 1'!$C$748:$C$750</c:f>
              <c:strCache>
                <c:ptCount val="3"/>
                <c:pt idx="0">
                  <c:v>Bâtiments</c:v>
                </c:pt>
                <c:pt idx="1">
                  <c:v>Informatique</c:v>
                </c:pt>
                <c:pt idx="2">
                  <c:v>Autres équipements</c:v>
                </c:pt>
              </c:strCache>
            </c:strRef>
          </c:cat>
          <c:val>
            <c:numRef>
              <c:f>'Campus site 1'!$E$748:$E$750</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A862-4C79-B738-130D59186C35}"/>
            </c:ext>
          </c:extLst>
        </c:ser>
        <c:dLbls>
          <c:showLegendKey val="0"/>
          <c:showVal val="0"/>
          <c:showCatName val="0"/>
          <c:showSerName val="0"/>
          <c:showPercent val="0"/>
          <c:showBubbleSize val="0"/>
        </c:dLbls>
        <c:gapWidth val="150"/>
        <c:axId val="170391536"/>
        <c:axId val="170392096"/>
      </c:barChart>
      <c:catAx>
        <c:axId val="170391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392096"/>
        <c:crosses val="autoZero"/>
        <c:auto val="1"/>
        <c:lblAlgn val="ctr"/>
        <c:lblOffset val="100"/>
        <c:tickLblSkip val="1"/>
        <c:tickMarkSkip val="1"/>
        <c:noMultiLvlLbl val="0"/>
      </c:catAx>
      <c:valAx>
        <c:axId val="1703920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703915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oddFooter>&amp;LCalcul des émissions de gaz à effet de serre&amp;RRubrique &amp;A, page &amp;P, édité le &amp;D</c:oddFooter>
    </c:headerFooter>
    <c:pageMargins b="0.98425196899999956" l="0.78740157499999996" r="0.78740157499999996" t="0.98425196899999956" header="0.49212598450000289" footer="0.49212598450000289"/>
    <c:pageSetup paperSize="0"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avenirclimatique.org/"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26" Type="http://schemas.openxmlformats.org/officeDocument/2006/relationships/image" Target="../media/image28.png"/><Relationship Id="rId3" Type="http://schemas.openxmlformats.org/officeDocument/2006/relationships/image" Target="../media/image5.png"/><Relationship Id="rId21" Type="http://schemas.openxmlformats.org/officeDocument/2006/relationships/image" Target="../media/image23.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5" Type="http://schemas.openxmlformats.org/officeDocument/2006/relationships/image" Target="../media/image27.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24" Type="http://schemas.openxmlformats.org/officeDocument/2006/relationships/image" Target="../media/image26.png"/><Relationship Id="rId5" Type="http://schemas.openxmlformats.org/officeDocument/2006/relationships/image" Target="../media/image7.png"/><Relationship Id="rId15" Type="http://schemas.openxmlformats.org/officeDocument/2006/relationships/image" Target="../media/image17.png"/><Relationship Id="rId23" Type="http://schemas.openxmlformats.org/officeDocument/2006/relationships/image" Target="../media/image25.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s>
</file>

<file path=xl/drawings/_rels/drawing3.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30.png"/><Relationship Id="rId39" Type="http://schemas.openxmlformats.org/officeDocument/2006/relationships/image" Target="../media/image33.png"/><Relationship Id="rId21" Type="http://schemas.openxmlformats.org/officeDocument/2006/relationships/image" Target="../media/image5.png"/><Relationship Id="rId34" Type="http://schemas.openxmlformats.org/officeDocument/2006/relationships/image" Target="../media/image17.png"/><Relationship Id="rId42" Type="http://schemas.openxmlformats.org/officeDocument/2006/relationships/image" Target="../media/image23.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image" Target="../media/image13.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image" Target="../media/image8.png"/><Relationship Id="rId32" Type="http://schemas.openxmlformats.org/officeDocument/2006/relationships/image" Target="../media/image15.png"/><Relationship Id="rId37" Type="http://schemas.openxmlformats.org/officeDocument/2006/relationships/image" Target="../media/image18.png"/><Relationship Id="rId40" Type="http://schemas.openxmlformats.org/officeDocument/2006/relationships/image" Target="../media/image26.png"/><Relationship Id="rId45" Type="http://schemas.openxmlformats.org/officeDocument/2006/relationships/image" Target="../media/image34.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7.png"/><Relationship Id="rId28" Type="http://schemas.openxmlformats.org/officeDocument/2006/relationships/image" Target="../media/image10.png"/><Relationship Id="rId36" Type="http://schemas.openxmlformats.org/officeDocument/2006/relationships/image" Target="../media/image25.png"/><Relationship Id="rId10" Type="http://schemas.openxmlformats.org/officeDocument/2006/relationships/chart" Target="../charts/chart10.xml"/><Relationship Id="rId19" Type="http://schemas.openxmlformats.org/officeDocument/2006/relationships/image" Target="../media/image3.png"/><Relationship Id="rId31" Type="http://schemas.openxmlformats.org/officeDocument/2006/relationships/image" Target="../media/image14.png"/><Relationship Id="rId44" Type="http://schemas.openxmlformats.org/officeDocument/2006/relationships/image" Target="../media/image2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image" Target="../media/image29.png"/><Relationship Id="rId27" Type="http://schemas.openxmlformats.org/officeDocument/2006/relationships/image" Target="../media/image11.png"/><Relationship Id="rId30" Type="http://schemas.openxmlformats.org/officeDocument/2006/relationships/image" Target="../media/image12.png"/><Relationship Id="rId35" Type="http://schemas.openxmlformats.org/officeDocument/2006/relationships/image" Target="../media/image21.png"/><Relationship Id="rId43" Type="http://schemas.openxmlformats.org/officeDocument/2006/relationships/image" Target="../media/image24.png"/><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9.png"/><Relationship Id="rId33" Type="http://schemas.openxmlformats.org/officeDocument/2006/relationships/image" Target="../media/image31.png"/><Relationship Id="rId38" Type="http://schemas.openxmlformats.org/officeDocument/2006/relationships/image" Target="../media/image32.png"/><Relationship Id="rId20" Type="http://schemas.openxmlformats.org/officeDocument/2006/relationships/image" Target="../media/image4.png"/><Relationship Id="rId41" Type="http://schemas.openxmlformats.org/officeDocument/2006/relationships/image" Target="../media/image22.png"/></Relationships>
</file>

<file path=xl/drawings/_rels/drawing4.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30.png"/><Relationship Id="rId7" Type="http://schemas.openxmlformats.org/officeDocument/2006/relationships/image" Target="../media/image15.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10.png"/><Relationship Id="rId5" Type="http://schemas.openxmlformats.org/officeDocument/2006/relationships/image" Target="../media/image6.png"/><Relationship Id="rId10" Type="http://schemas.openxmlformats.org/officeDocument/2006/relationships/image" Target="../media/image23.png"/><Relationship Id="rId4" Type="http://schemas.openxmlformats.org/officeDocument/2006/relationships/image" Target="../media/image3.png"/><Relationship Id="rId9"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290512</xdr:rowOff>
    </xdr:from>
    <xdr:to>
      <xdr:col>2</xdr:col>
      <xdr:colOff>438160</xdr:colOff>
      <xdr:row>3</xdr:row>
      <xdr:rowOff>32472</xdr:rowOff>
    </xdr:to>
    <xdr:pic>
      <xdr:nvPicPr>
        <xdr:cNvPr id="2" name="Image 4">
          <a:hlinkClick xmlns:r="http://schemas.openxmlformats.org/officeDocument/2006/relationships" r:id="rId1"/>
          <a:extLst>
            <a:ext uri="{FF2B5EF4-FFF2-40B4-BE49-F238E27FC236}">
              <a16:creationId xmlns:a16="http://schemas.microsoft.com/office/drawing/2014/main" xmlns="" id="{20A9B96F-3AA9-4960-A767-849C00B1A019}"/>
            </a:ext>
          </a:extLst>
        </xdr:cNvPr>
        <xdr:cNvPicPr>
          <a:picLocks noChangeAspect="1"/>
        </xdr:cNvPicPr>
      </xdr:nvPicPr>
      <xdr:blipFill>
        <a:blip xmlns:r="http://schemas.openxmlformats.org/officeDocument/2006/relationships" r:embed="rId2" cstate="print"/>
        <a:srcRect/>
        <a:stretch>
          <a:fillRect/>
        </a:stretch>
      </xdr:blipFill>
      <xdr:spPr bwMode="auto">
        <a:xfrm>
          <a:off x="0" y="290512"/>
          <a:ext cx="736899" cy="733426"/>
        </a:xfrm>
        <a:prstGeom prst="rect">
          <a:avLst/>
        </a:prstGeom>
        <a:noFill/>
        <a:ln w="9525">
          <a:noFill/>
          <a:miter lim="800000"/>
          <a:headEnd/>
          <a:tailEnd/>
        </a:ln>
      </xdr:spPr>
    </xdr:pic>
    <xdr:clientData/>
  </xdr:twoCellAnchor>
  <xdr:twoCellAnchor editAs="oneCell">
    <xdr:from>
      <xdr:col>1</xdr:col>
      <xdr:colOff>8658</xdr:colOff>
      <xdr:row>12</xdr:row>
      <xdr:rowOff>42429</xdr:rowOff>
    </xdr:from>
    <xdr:to>
      <xdr:col>4</xdr:col>
      <xdr:colOff>225136</xdr:colOff>
      <xdr:row>13</xdr:row>
      <xdr:rowOff>591271</xdr:rowOff>
    </xdr:to>
    <xdr:pic>
      <xdr:nvPicPr>
        <xdr:cNvPr id="5" name="Image 4">
          <a:extLst>
            <a:ext uri="{FF2B5EF4-FFF2-40B4-BE49-F238E27FC236}">
              <a16:creationId xmlns:a16="http://schemas.microsoft.com/office/drawing/2014/main" xmlns="" id="{E03F6DF2-9763-47D9-98C1-6097D875DD71}"/>
            </a:ext>
          </a:extLst>
        </xdr:cNvPr>
        <xdr:cNvPicPr>
          <a:picLocks noChangeAspect="1"/>
        </xdr:cNvPicPr>
      </xdr:nvPicPr>
      <xdr:blipFill>
        <a:blip xmlns:r="http://schemas.openxmlformats.org/officeDocument/2006/relationships" r:embed="rId3"/>
        <a:stretch>
          <a:fillRect/>
        </a:stretch>
      </xdr:blipFill>
      <xdr:spPr>
        <a:xfrm>
          <a:off x="155863" y="5895974"/>
          <a:ext cx="1861705" cy="713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196103</xdr:colOff>
      <xdr:row>2</xdr:row>
      <xdr:rowOff>67236</xdr:rowOff>
    </xdr:from>
    <xdr:to>
      <xdr:col>0</xdr:col>
      <xdr:colOff>561668</xdr:colOff>
      <xdr:row>4</xdr:row>
      <xdr:rowOff>141448</xdr:rowOff>
    </xdr:to>
    <xdr:pic>
      <xdr:nvPicPr>
        <xdr:cNvPr id="2" name="Image 1">
          <a:extLst>
            <a:ext uri="{FF2B5EF4-FFF2-40B4-BE49-F238E27FC236}">
              <a16:creationId xmlns:a16="http://schemas.microsoft.com/office/drawing/2014/main" xmlns="" id="{5C8E6B45-D3E8-4615-AF43-50A58E8CCE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103" y="364192"/>
          <a:ext cx="365565" cy="365565"/>
        </a:xfrm>
        <a:prstGeom prst="rect">
          <a:avLst/>
        </a:prstGeom>
      </xdr:spPr>
    </xdr:pic>
    <xdr:clientData/>
  </xdr:twoCellAnchor>
  <xdr:twoCellAnchor editAs="oneCell">
    <xdr:from>
      <xdr:col>0</xdr:col>
      <xdr:colOff>179294</xdr:colOff>
      <xdr:row>11</xdr:row>
      <xdr:rowOff>117663</xdr:rowOff>
    </xdr:from>
    <xdr:to>
      <xdr:col>0</xdr:col>
      <xdr:colOff>539294</xdr:colOff>
      <xdr:row>14</xdr:row>
      <xdr:rowOff>40632</xdr:rowOff>
    </xdr:to>
    <xdr:pic>
      <xdr:nvPicPr>
        <xdr:cNvPr id="3" name="Image 2">
          <a:extLst>
            <a:ext uri="{FF2B5EF4-FFF2-40B4-BE49-F238E27FC236}">
              <a16:creationId xmlns:a16="http://schemas.microsoft.com/office/drawing/2014/main" xmlns="" id="{29DFAABE-0EFE-47C8-B565-BFBDCD029D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294" y="1580031"/>
          <a:ext cx="360000" cy="360000"/>
        </a:xfrm>
        <a:prstGeom prst="rect">
          <a:avLst/>
        </a:prstGeom>
      </xdr:spPr>
    </xdr:pic>
    <xdr:clientData/>
  </xdr:twoCellAnchor>
  <xdr:twoCellAnchor editAs="oneCell">
    <xdr:from>
      <xdr:col>0</xdr:col>
      <xdr:colOff>218515</xdr:colOff>
      <xdr:row>20</xdr:row>
      <xdr:rowOff>50428</xdr:rowOff>
    </xdr:from>
    <xdr:to>
      <xdr:col>0</xdr:col>
      <xdr:colOff>578515</xdr:colOff>
      <xdr:row>22</xdr:row>
      <xdr:rowOff>119074</xdr:rowOff>
    </xdr:to>
    <xdr:pic>
      <xdr:nvPicPr>
        <xdr:cNvPr id="4" name="Image 3">
          <a:extLst>
            <a:ext uri="{FF2B5EF4-FFF2-40B4-BE49-F238E27FC236}">
              <a16:creationId xmlns:a16="http://schemas.microsoft.com/office/drawing/2014/main" xmlns="" id="{49E643D7-612B-4CE7-B264-7BCF8C70C6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8515" y="2823884"/>
          <a:ext cx="360000" cy="360000"/>
        </a:xfrm>
        <a:prstGeom prst="rect">
          <a:avLst/>
        </a:prstGeom>
      </xdr:spPr>
    </xdr:pic>
    <xdr:clientData/>
  </xdr:twoCellAnchor>
  <xdr:twoCellAnchor editAs="oneCell">
    <xdr:from>
      <xdr:col>0</xdr:col>
      <xdr:colOff>240926</xdr:colOff>
      <xdr:row>31</xdr:row>
      <xdr:rowOff>95250</xdr:rowOff>
    </xdr:from>
    <xdr:to>
      <xdr:col>0</xdr:col>
      <xdr:colOff>600926</xdr:colOff>
      <xdr:row>34</xdr:row>
      <xdr:rowOff>18222</xdr:rowOff>
    </xdr:to>
    <xdr:pic>
      <xdr:nvPicPr>
        <xdr:cNvPr id="5" name="Image 4">
          <a:extLst>
            <a:ext uri="{FF2B5EF4-FFF2-40B4-BE49-F238E27FC236}">
              <a16:creationId xmlns:a16="http://schemas.microsoft.com/office/drawing/2014/main" xmlns="" id="{0D78F84A-ACC1-4117-BB61-25BD3ED325F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926" y="4476750"/>
          <a:ext cx="360000" cy="360000"/>
        </a:xfrm>
        <a:prstGeom prst="rect">
          <a:avLst/>
        </a:prstGeom>
      </xdr:spPr>
    </xdr:pic>
    <xdr:clientData/>
  </xdr:twoCellAnchor>
  <xdr:twoCellAnchor editAs="oneCell">
    <xdr:from>
      <xdr:col>0</xdr:col>
      <xdr:colOff>173691</xdr:colOff>
      <xdr:row>42</xdr:row>
      <xdr:rowOff>95252</xdr:rowOff>
    </xdr:from>
    <xdr:to>
      <xdr:col>0</xdr:col>
      <xdr:colOff>533691</xdr:colOff>
      <xdr:row>45</xdr:row>
      <xdr:rowOff>18222</xdr:rowOff>
    </xdr:to>
    <xdr:pic>
      <xdr:nvPicPr>
        <xdr:cNvPr id="6" name="Image 5">
          <a:extLst>
            <a:ext uri="{FF2B5EF4-FFF2-40B4-BE49-F238E27FC236}">
              <a16:creationId xmlns:a16="http://schemas.microsoft.com/office/drawing/2014/main" xmlns="" id="{89A7A43E-3270-4899-ADA4-792E6DE4C5A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3691" y="6079193"/>
          <a:ext cx="360000" cy="360000"/>
        </a:xfrm>
        <a:prstGeom prst="rect">
          <a:avLst/>
        </a:prstGeom>
      </xdr:spPr>
    </xdr:pic>
    <xdr:clientData/>
  </xdr:twoCellAnchor>
  <xdr:twoCellAnchor editAs="oneCell">
    <xdr:from>
      <xdr:col>0</xdr:col>
      <xdr:colOff>173692</xdr:colOff>
      <xdr:row>49</xdr:row>
      <xdr:rowOff>89649</xdr:rowOff>
    </xdr:from>
    <xdr:to>
      <xdr:col>0</xdr:col>
      <xdr:colOff>533692</xdr:colOff>
      <xdr:row>52</xdr:row>
      <xdr:rowOff>12619</xdr:rowOff>
    </xdr:to>
    <xdr:pic>
      <xdr:nvPicPr>
        <xdr:cNvPr id="7" name="Image 6">
          <a:extLst>
            <a:ext uri="{FF2B5EF4-FFF2-40B4-BE49-F238E27FC236}">
              <a16:creationId xmlns:a16="http://schemas.microsoft.com/office/drawing/2014/main" xmlns="" id="{AA4E10E3-6FD2-489B-98CA-87A5759ED84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73692" y="7093325"/>
          <a:ext cx="360000" cy="360000"/>
        </a:xfrm>
        <a:prstGeom prst="rect">
          <a:avLst/>
        </a:prstGeom>
      </xdr:spPr>
    </xdr:pic>
    <xdr:clientData/>
  </xdr:twoCellAnchor>
  <xdr:twoCellAnchor editAs="oneCell">
    <xdr:from>
      <xdr:col>0</xdr:col>
      <xdr:colOff>162486</xdr:colOff>
      <xdr:row>56</xdr:row>
      <xdr:rowOff>140073</xdr:rowOff>
    </xdr:from>
    <xdr:to>
      <xdr:col>0</xdr:col>
      <xdr:colOff>522486</xdr:colOff>
      <xdr:row>59</xdr:row>
      <xdr:rowOff>63044</xdr:rowOff>
    </xdr:to>
    <xdr:pic>
      <xdr:nvPicPr>
        <xdr:cNvPr id="8" name="Image 7">
          <a:extLst>
            <a:ext uri="{FF2B5EF4-FFF2-40B4-BE49-F238E27FC236}">
              <a16:creationId xmlns:a16="http://schemas.microsoft.com/office/drawing/2014/main" xmlns="" id="{EE02E03F-C70A-43D6-A4D0-07579ECC9A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2486" y="8163485"/>
          <a:ext cx="360000" cy="360000"/>
        </a:xfrm>
        <a:prstGeom prst="rect">
          <a:avLst/>
        </a:prstGeom>
      </xdr:spPr>
    </xdr:pic>
    <xdr:clientData/>
  </xdr:twoCellAnchor>
  <xdr:twoCellAnchor editAs="oneCell">
    <xdr:from>
      <xdr:col>0</xdr:col>
      <xdr:colOff>145677</xdr:colOff>
      <xdr:row>64</xdr:row>
      <xdr:rowOff>16809</xdr:rowOff>
    </xdr:from>
    <xdr:to>
      <xdr:col>0</xdr:col>
      <xdr:colOff>505677</xdr:colOff>
      <xdr:row>66</xdr:row>
      <xdr:rowOff>85457</xdr:rowOff>
    </xdr:to>
    <xdr:pic>
      <xdr:nvPicPr>
        <xdr:cNvPr id="10" name="Image 9">
          <a:extLst>
            <a:ext uri="{FF2B5EF4-FFF2-40B4-BE49-F238E27FC236}">
              <a16:creationId xmlns:a16="http://schemas.microsoft.com/office/drawing/2014/main" xmlns="" id="{AB994FB0-E651-47C1-AFC3-5D2F35CF2CC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5677" y="9205633"/>
          <a:ext cx="360000" cy="360000"/>
        </a:xfrm>
        <a:prstGeom prst="rect">
          <a:avLst/>
        </a:prstGeom>
      </xdr:spPr>
    </xdr:pic>
    <xdr:clientData/>
  </xdr:twoCellAnchor>
  <xdr:twoCellAnchor editAs="oneCell">
    <xdr:from>
      <xdr:col>0</xdr:col>
      <xdr:colOff>117662</xdr:colOff>
      <xdr:row>71</xdr:row>
      <xdr:rowOff>11206</xdr:rowOff>
    </xdr:from>
    <xdr:to>
      <xdr:col>0</xdr:col>
      <xdr:colOff>477662</xdr:colOff>
      <xdr:row>73</xdr:row>
      <xdr:rowOff>79853</xdr:rowOff>
    </xdr:to>
    <xdr:pic>
      <xdr:nvPicPr>
        <xdr:cNvPr id="12" name="Image 11">
          <a:extLst>
            <a:ext uri="{FF2B5EF4-FFF2-40B4-BE49-F238E27FC236}">
              <a16:creationId xmlns:a16="http://schemas.microsoft.com/office/drawing/2014/main" xmlns="" id="{A6F9E51E-A960-4FEB-AFF3-A61400A1FEB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7662" y="10365441"/>
          <a:ext cx="360000" cy="360000"/>
        </a:xfrm>
        <a:prstGeom prst="rect">
          <a:avLst/>
        </a:prstGeom>
      </xdr:spPr>
    </xdr:pic>
    <xdr:clientData/>
  </xdr:twoCellAnchor>
  <xdr:twoCellAnchor editAs="oneCell">
    <xdr:from>
      <xdr:col>0</xdr:col>
      <xdr:colOff>117662</xdr:colOff>
      <xdr:row>89</xdr:row>
      <xdr:rowOff>128868</xdr:rowOff>
    </xdr:from>
    <xdr:to>
      <xdr:col>0</xdr:col>
      <xdr:colOff>477662</xdr:colOff>
      <xdr:row>92</xdr:row>
      <xdr:rowOff>51840</xdr:rowOff>
    </xdr:to>
    <xdr:pic>
      <xdr:nvPicPr>
        <xdr:cNvPr id="14" name="Image 13">
          <a:extLst>
            <a:ext uri="{FF2B5EF4-FFF2-40B4-BE49-F238E27FC236}">
              <a16:creationId xmlns:a16="http://schemas.microsoft.com/office/drawing/2014/main" xmlns="" id="{701B0D1A-D6F3-4457-A988-4CA223F914D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7662" y="12668250"/>
          <a:ext cx="360000" cy="360000"/>
        </a:xfrm>
        <a:prstGeom prst="rect">
          <a:avLst/>
        </a:prstGeom>
      </xdr:spPr>
    </xdr:pic>
    <xdr:clientData/>
  </xdr:twoCellAnchor>
  <xdr:twoCellAnchor editAs="oneCell">
    <xdr:from>
      <xdr:col>0</xdr:col>
      <xdr:colOff>112059</xdr:colOff>
      <xdr:row>82</xdr:row>
      <xdr:rowOff>100852</xdr:rowOff>
    </xdr:from>
    <xdr:to>
      <xdr:col>0</xdr:col>
      <xdr:colOff>472059</xdr:colOff>
      <xdr:row>85</xdr:row>
      <xdr:rowOff>23821</xdr:rowOff>
    </xdr:to>
    <xdr:pic>
      <xdr:nvPicPr>
        <xdr:cNvPr id="16" name="Image 15">
          <a:extLst>
            <a:ext uri="{FF2B5EF4-FFF2-40B4-BE49-F238E27FC236}">
              <a16:creationId xmlns:a16="http://schemas.microsoft.com/office/drawing/2014/main" xmlns="" id="{E9A29FE8-F4D2-41CF-8A6E-8D6627BC097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12059" y="11620499"/>
          <a:ext cx="360000" cy="360000"/>
        </a:xfrm>
        <a:prstGeom prst="rect">
          <a:avLst/>
        </a:prstGeom>
      </xdr:spPr>
    </xdr:pic>
    <xdr:clientData/>
  </xdr:twoCellAnchor>
  <xdr:twoCellAnchor editAs="oneCell">
    <xdr:from>
      <xdr:col>0</xdr:col>
      <xdr:colOff>145677</xdr:colOff>
      <xdr:row>103</xdr:row>
      <xdr:rowOff>117662</xdr:rowOff>
    </xdr:from>
    <xdr:to>
      <xdr:col>0</xdr:col>
      <xdr:colOff>505677</xdr:colOff>
      <xdr:row>106</xdr:row>
      <xdr:rowOff>40631</xdr:rowOff>
    </xdr:to>
    <xdr:pic>
      <xdr:nvPicPr>
        <xdr:cNvPr id="17" name="Image 16">
          <a:extLst>
            <a:ext uri="{FF2B5EF4-FFF2-40B4-BE49-F238E27FC236}">
              <a16:creationId xmlns:a16="http://schemas.microsoft.com/office/drawing/2014/main" xmlns="" id="{678379AB-E7BE-4C37-8CCF-A9AD1736D5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5677" y="14696515"/>
          <a:ext cx="360000" cy="360000"/>
        </a:xfrm>
        <a:prstGeom prst="rect">
          <a:avLst/>
        </a:prstGeom>
      </xdr:spPr>
    </xdr:pic>
    <xdr:clientData/>
  </xdr:twoCellAnchor>
  <xdr:twoCellAnchor editAs="oneCell">
    <xdr:from>
      <xdr:col>0</xdr:col>
      <xdr:colOff>151280</xdr:colOff>
      <xdr:row>112</xdr:row>
      <xdr:rowOff>72837</xdr:rowOff>
    </xdr:from>
    <xdr:to>
      <xdr:col>0</xdr:col>
      <xdr:colOff>511280</xdr:colOff>
      <xdr:row>114</xdr:row>
      <xdr:rowOff>141484</xdr:rowOff>
    </xdr:to>
    <xdr:pic>
      <xdr:nvPicPr>
        <xdr:cNvPr id="19" name="Image 18">
          <a:extLst>
            <a:ext uri="{FF2B5EF4-FFF2-40B4-BE49-F238E27FC236}">
              <a16:creationId xmlns:a16="http://schemas.microsoft.com/office/drawing/2014/main" xmlns="" id="{E33117A3-9F09-435D-AB68-503A7C263C6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51280" y="15968382"/>
          <a:ext cx="360000" cy="360000"/>
        </a:xfrm>
        <a:prstGeom prst="rect">
          <a:avLst/>
        </a:prstGeom>
      </xdr:spPr>
    </xdr:pic>
    <xdr:clientData/>
  </xdr:twoCellAnchor>
  <xdr:twoCellAnchor editAs="oneCell">
    <xdr:from>
      <xdr:col>0</xdr:col>
      <xdr:colOff>196103</xdr:colOff>
      <xdr:row>135</xdr:row>
      <xdr:rowOff>106455</xdr:rowOff>
    </xdr:from>
    <xdr:to>
      <xdr:col>0</xdr:col>
      <xdr:colOff>556103</xdr:colOff>
      <xdr:row>138</xdr:row>
      <xdr:rowOff>29426</xdr:rowOff>
    </xdr:to>
    <xdr:pic>
      <xdr:nvPicPr>
        <xdr:cNvPr id="21" name="Image 20">
          <a:extLst>
            <a:ext uri="{FF2B5EF4-FFF2-40B4-BE49-F238E27FC236}">
              <a16:creationId xmlns:a16="http://schemas.microsoft.com/office/drawing/2014/main" xmlns="" id="{D9F2B12E-98DA-4423-9269-3FCEC03FAD1F}"/>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96103" y="19352559"/>
          <a:ext cx="360000" cy="360000"/>
        </a:xfrm>
        <a:prstGeom prst="rect">
          <a:avLst/>
        </a:prstGeom>
      </xdr:spPr>
    </xdr:pic>
    <xdr:clientData/>
  </xdr:twoCellAnchor>
  <xdr:twoCellAnchor editAs="oneCell">
    <xdr:from>
      <xdr:col>0</xdr:col>
      <xdr:colOff>184897</xdr:colOff>
      <xdr:row>129</xdr:row>
      <xdr:rowOff>106456</xdr:rowOff>
    </xdr:from>
    <xdr:to>
      <xdr:col>0</xdr:col>
      <xdr:colOff>544897</xdr:colOff>
      <xdr:row>132</xdr:row>
      <xdr:rowOff>29427</xdr:rowOff>
    </xdr:to>
    <xdr:pic>
      <xdr:nvPicPr>
        <xdr:cNvPr id="23" name="Image 22">
          <a:extLst>
            <a:ext uri="{FF2B5EF4-FFF2-40B4-BE49-F238E27FC236}">
              <a16:creationId xmlns:a16="http://schemas.microsoft.com/office/drawing/2014/main" xmlns="" id="{794641F9-6714-4A31-AC73-75AD25CE25F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84897" y="18478501"/>
          <a:ext cx="360000" cy="360000"/>
        </a:xfrm>
        <a:prstGeom prst="rect">
          <a:avLst/>
        </a:prstGeom>
      </xdr:spPr>
    </xdr:pic>
    <xdr:clientData/>
  </xdr:twoCellAnchor>
  <xdr:twoCellAnchor editAs="oneCell">
    <xdr:from>
      <xdr:col>0</xdr:col>
      <xdr:colOff>168088</xdr:colOff>
      <xdr:row>144</xdr:row>
      <xdr:rowOff>56029</xdr:rowOff>
    </xdr:from>
    <xdr:to>
      <xdr:col>0</xdr:col>
      <xdr:colOff>528088</xdr:colOff>
      <xdr:row>146</xdr:row>
      <xdr:rowOff>124676</xdr:rowOff>
    </xdr:to>
    <xdr:pic>
      <xdr:nvPicPr>
        <xdr:cNvPr id="27" name="Image 26">
          <a:extLst>
            <a:ext uri="{FF2B5EF4-FFF2-40B4-BE49-F238E27FC236}">
              <a16:creationId xmlns:a16="http://schemas.microsoft.com/office/drawing/2014/main" xmlns="" id="{AAA9C703-26CE-4F97-B77A-2AC331A87C2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68088" y="20613221"/>
          <a:ext cx="360000" cy="360000"/>
        </a:xfrm>
        <a:prstGeom prst="rect">
          <a:avLst/>
        </a:prstGeom>
      </xdr:spPr>
    </xdr:pic>
    <xdr:clientData/>
  </xdr:twoCellAnchor>
  <xdr:twoCellAnchor editAs="oneCell">
    <xdr:from>
      <xdr:col>0</xdr:col>
      <xdr:colOff>151280</xdr:colOff>
      <xdr:row>164</xdr:row>
      <xdr:rowOff>0</xdr:rowOff>
    </xdr:from>
    <xdr:to>
      <xdr:col>0</xdr:col>
      <xdr:colOff>511280</xdr:colOff>
      <xdr:row>166</xdr:row>
      <xdr:rowOff>68647</xdr:rowOff>
    </xdr:to>
    <xdr:pic>
      <xdr:nvPicPr>
        <xdr:cNvPr id="29" name="Image 28">
          <a:extLst>
            <a:ext uri="{FF2B5EF4-FFF2-40B4-BE49-F238E27FC236}">
              <a16:creationId xmlns:a16="http://schemas.microsoft.com/office/drawing/2014/main" xmlns="" id="{1C697E62-2BCF-4EA0-BCD3-5DB02F0B0CB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1280" y="21728206"/>
          <a:ext cx="360000" cy="360000"/>
        </a:xfrm>
        <a:prstGeom prst="rect">
          <a:avLst/>
        </a:prstGeom>
      </xdr:spPr>
    </xdr:pic>
    <xdr:clientData/>
  </xdr:twoCellAnchor>
  <xdr:twoCellAnchor editAs="oneCell">
    <xdr:from>
      <xdr:col>0</xdr:col>
      <xdr:colOff>196103</xdr:colOff>
      <xdr:row>178</xdr:row>
      <xdr:rowOff>84045</xdr:rowOff>
    </xdr:from>
    <xdr:to>
      <xdr:col>0</xdr:col>
      <xdr:colOff>556103</xdr:colOff>
      <xdr:row>181</xdr:row>
      <xdr:rowOff>7018</xdr:rowOff>
    </xdr:to>
    <xdr:pic>
      <xdr:nvPicPr>
        <xdr:cNvPr id="31" name="Image 30">
          <a:extLst>
            <a:ext uri="{FF2B5EF4-FFF2-40B4-BE49-F238E27FC236}">
              <a16:creationId xmlns:a16="http://schemas.microsoft.com/office/drawing/2014/main" xmlns="" id="{500336A2-ECA7-4491-94AD-CD40B54363FE}"/>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96103" y="23123339"/>
          <a:ext cx="360000" cy="360000"/>
        </a:xfrm>
        <a:prstGeom prst="rect">
          <a:avLst/>
        </a:prstGeom>
      </xdr:spPr>
    </xdr:pic>
    <xdr:clientData/>
  </xdr:twoCellAnchor>
  <xdr:twoCellAnchor editAs="oneCell">
    <xdr:from>
      <xdr:col>0</xdr:col>
      <xdr:colOff>161207</xdr:colOff>
      <xdr:row>207</xdr:row>
      <xdr:rowOff>49147</xdr:rowOff>
    </xdr:from>
    <xdr:to>
      <xdr:col>0</xdr:col>
      <xdr:colOff>521207</xdr:colOff>
      <xdr:row>209</xdr:row>
      <xdr:rowOff>117794</xdr:rowOff>
    </xdr:to>
    <xdr:pic>
      <xdr:nvPicPr>
        <xdr:cNvPr id="33" name="Image 32">
          <a:extLst>
            <a:ext uri="{FF2B5EF4-FFF2-40B4-BE49-F238E27FC236}">
              <a16:creationId xmlns:a16="http://schemas.microsoft.com/office/drawing/2014/main" xmlns="" id="{6DA95CA7-27C0-42D8-B894-DF2965807ECA}"/>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61207" y="25273588"/>
          <a:ext cx="360000" cy="360000"/>
        </a:xfrm>
        <a:prstGeom prst="rect">
          <a:avLst/>
        </a:prstGeom>
      </xdr:spPr>
    </xdr:pic>
    <xdr:clientData/>
  </xdr:twoCellAnchor>
  <xdr:twoCellAnchor editAs="oneCell">
    <xdr:from>
      <xdr:col>0</xdr:col>
      <xdr:colOff>201706</xdr:colOff>
      <xdr:row>123</xdr:row>
      <xdr:rowOff>44824</xdr:rowOff>
    </xdr:from>
    <xdr:to>
      <xdr:col>0</xdr:col>
      <xdr:colOff>561706</xdr:colOff>
      <xdr:row>125</xdr:row>
      <xdr:rowOff>113470</xdr:rowOff>
    </xdr:to>
    <xdr:pic>
      <xdr:nvPicPr>
        <xdr:cNvPr id="37" name="Image 36">
          <a:extLst>
            <a:ext uri="{FF2B5EF4-FFF2-40B4-BE49-F238E27FC236}">
              <a16:creationId xmlns:a16="http://schemas.microsoft.com/office/drawing/2014/main" xmlns="" id="{4F5D8E85-BB85-4ECC-89F1-F573DE788A4D}"/>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01706" y="17542810"/>
          <a:ext cx="360000" cy="360000"/>
        </a:xfrm>
        <a:prstGeom prst="rect">
          <a:avLst/>
        </a:prstGeom>
      </xdr:spPr>
    </xdr:pic>
    <xdr:clientData/>
  </xdr:twoCellAnchor>
  <xdr:twoCellAnchor editAs="oneCell">
    <xdr:from>
      <xdr:col>0</xdr:col>
      <xdr:colOff>190421</xdr:colOff>
      <xdr:row>215</xdr:row>
      <xdr:rowOff>93571</xdr:rowOff>
    </xdr:from>
    <xdr:to>
      <xdr:col>0</xdr:col>
      <xdr:colOff>550421</xdr:colOff>
      <xdr:row>218</xdr:row>
      <xdr:rowOff>16540</xdr:rowOff>
    </xdr:to>
    <xdr:pic>
      <xdr:nvPicPr>
        <xdr:cNvPr id="41" name="Image 40">
          <a:extLst>
            <a:ext uri="{FF2B5EF4-FFF2-40B4-BE49-F238E27FC236}">
              <a16:creationId xmlns:a16="http://schemas.microsoft.com/office/drawing/2014/main" xmlns="" id="{B64E67E7-4D42-46E6-A99A-B5920C94DE17}"/>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90421" y="29280892"/>
          <a:ext cx="360000" cy="372005"/>
        </a:xfrm>
        <a:prstGeom prst="rect">
          <a:avLst/>
        </a:prstGeom>
      </xdr:spPr>
    </xdr:pic>
    <xdr:clientData/>
  </xdr:twoCellAnchor>
  <xdr:twoCellAnchor editAs="oneCell">
    <xdr:from>
      <xdr:col>0</xdr:col>
      <xdr:colOff>173693</xdr:colOff>
      <xdr:row>227</xdr:row>
      <xdr:rowOff>28014</xdr:rowOff>
    </xdr:from>
    <xdr:to>
      <xdr:col>0</xdr:col>
      <xdr:colOff>533693</xdr:colOff>
      <xdr:row>229</xdr:row>
      <xdr:rowOff>96661</xdr:rowOff>
    </xdr:to>
    <xdr:pic>
      <xdr:nvPicPr>
        <xdr:cNvPr id="43" name="Image 42">
          <a:extLst>
            <a:ext uri="{FF2B5EF4-FFF2-40B4-BE49-F238E27FC236}">
              <a16:creationId xmlns:a16="http://schemas.microsoft.com/office/drawing/2014/main" xmlns="" id="{20B7E46C-567E-4498-B152-096F58B6B76A}"/>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73693" y="30216661"/>
          <a:ext cx="360000" cy="360000"/>
        </a:xfrm>
        <a:prstGeom prst="rect">
          <a:avLst/>
        </a:prstGeom>
      </xdr:spPr>
    </xdr:pic>
    <xdr:clientData/>
  </xdr:twoCellAnchor>
  <xdr:twoCellAnchor editAs="oneCell">
    <xdr:from>
      <xdr:col>0</xdr:col>
      <xdr:colOff>161685</xdr:colOff>
      <xdr:row>238</xdr:row>
      <xdr:rowOff>15610</xdr:rowOff>
    </xdr:from>
    <xdr:to>
      <xdr:col>0</xdr:col>
      <xdr:colOff>521685</xdr:colOff>
      <xdr:row>240</xdr:row>
      <xdr:rowOff>84257</xdr:rowOff>
    </xdr:to>
    <xdr:pic>
      <xdr:nvPicPr>
        <xdr:cNvPr id="45" name="Image 44">
          <a:extLst>
            <a:ext uri="{FF2B5EF4-FFF2-40B4-BE49-F238E27FC236}">
              <a16:creationId xmlns:a16="http://schemas.microsoft.com/office/drawing/2014/main" xmlns="" id="{BF1125C8-8D91-4924-A706-ECE1BB322D8C}"/>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61685" y="32645539"/>
          <a:ext cx="360000" cy="368004"/>
        </a:xfrm>
        <a:prstGeom prst="rect">
          <a:avLst/>
        </a:prstGeom>
      </xdr:spPr>
    </xdr:pic>
    <xdr:clientData/>
  </xdr:twoCellAnchor>
  <xdr:twoCellAnchor editAs="oneCell">
    <xdr:from>
      <xdr:col>0</xdr:col>
      <xdr:colOff>156482</xdr:colOff>
      <xdr:row>151</xdr:row>
      <xdr:rowOff>142876</xdr:rowOff>
    </xdr:from>
    <xdr:to>
      <xdr:col>0</xdr:col>
      <xdr:colOff>516482</xdr:colOff>
      <xdr:row>154</xdr:row>
      <xdr:rowOff>70649</xdr:rowOff>
    </xdr:to>
    <xdr:pic>
      <xdr:nvPicPr>
        <xdr:cNvPr id="46" name="Image 45">
          <a:extLst>
            <a:ext uri="{FF2B5EF4-FFF2-40B4-BE49-F238E27FC236}">
              <a16:creationId xmlns:a16="http://schemas.microsoft.com/office/drawing/2014/main" xmlns="" id="{6DD2E9AE-D80C-4255-8AD7-5FA911883215}"/>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56482" y="22744340"/>
          <a:ext cx="360000" cy="360000"/>
        </a:xfrm>
        <a:prstGeom prst="rect">
          <a:avLst/>
        </a:prstGeom>
      </xdr:spPr>
    </xdr:pic>
    <xdr:clientData/>
  </xdr:twoCellAnchor>
  <xdr:twoCellAnchor editAs="oneCell">
    <xdr:from>
      <xdr:col>0</xdr:col>
      <xdr:colOff>156484</xdr:colOff>
      <xdr:row>197</xdr:row>
      <xdr:rowOff>129268</xdr:rowOff>
    </xdr:from>
    <xdr:to>
      <xdr:col>0</xdr:col>
      <xdr:colOff>516484</xdr:colOff>
      <xdr:row>200</xdr:row>
      <xdr:rowOff>40234</xdr:rowOff>
    </xdr:to>
    <xdr:pic>
      <xdr:nvPicPr>
        <xdr:cNvPr id="48" name="Image 47">
          <a:extLst>
            <a:ext uri="{FF2B5EF4-FFF2-40B4-BE49-F238E27FC236}">
              <a16:creationId xmlns:a16="http://schemas.microsoft.com/office/drawing/2014/main" xmlns="" id="{F2309D4B-A8B6-4C42-B398-3B24C034B0F2}"/>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56484" y="29166911"/>
          <a:ext cx="360000" cy="360000"/>
        </a:xfrm>
        <a:prstGeom prst="rect">
          <a:avLst/>
        </a:prstGeom>
      </xdr:spPr>
    </xdr:pic>
    <xdr:clientData/>
  </xdr:twoCellAnchor>
  <xdr:twoCellAnchor editAs="oneCell">
    <xdr:from>
      <xdr:col>16</xdr:col>
      <xdr:colOff>469446</xdr:colOff>
      <xdr:row>3</xdr:row>
      <xdr:rowOff>27214</xdr:rowOff>
    </xdr:from>
    <xdr:to>
      <xdr:col>17</xdr:col>
      <xdr:colOff>484040</xdr:colOff>
      <xdr:row>7</xdr:row>
      <xdr:rowOff>130254</xdr:rowOff>
    </xdr:to>
    <xdr:pic>
      <xdr:nvPicPr>
        <xdr:cNvPr id="54" name="Image 53">
          <a:extLst>
            <a:ext uri="{FF2B5EF4-FFF2-40B4-BE49-F238E27FC236}">
              <a16:creationId xmlns:a16="http://schemas.microsoft.com/office/drawing/2014/main" xmlns="" id="{E55C3F41-FC02-40A1-AFBF-D77A2786D07E}"/>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0036517" y="476250"/>
          <a:ext cx="701756" cy="701756"/>
        </a:xfrm>
        <a:prstGeom prst="rect">
          <a:avLst/>
        </a:prstGeom>
      </xdr:spPr>
    </xdr:pic>
    <xdr:clientData/>
  </xdr:twoCellAnchor>
  <xdr:twoCellAnchor editAs="oneCell">
    <xdr:from>
      <xdr:col>0</xdr:col>
      <xdr:colOff>145676</xdr:colOff>
      <xdr:row>247</xdr:row>
      <xdr:rowOff>128868</xdr:rowOff>
    </xdr:from>
    <xdr:to>
      <xdr:col>0</xdr:col>
      <xdr:colOff>505676</xdr:colOff>
      <xdr:row>250</xdr:row>
      <xdr:rowOff>51838</xdr:rowOff>
    </xdr:to>
    <xdr:pic>
      <xdr:nvPicPr>
        <xdr:cNvPr id="56" name="Image 55">
          <a:extLst>
            <a:ext uri="{FF2B5EF4-FFF2-40B4-BE49-F238E27FC236}">
              <a16:creationId xmlns:a16="http://schemas.microsoft.com/office/drawing/2014/main" xmlns="" id="{6E8B35EC-8D89-4C45-BF72-DF992D30D719}"/>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145676" y="36122162"/>
          <a:ext cx="36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47626</xdr:colOff>
      <xdr:row>53</xdr:row>
      <xdr:rowOff>139700</xdr:rowOff>
    </xdr:from>
    <xdr:to>
      <xdr:col>16</xdr:col>
      <xdr:colOff>195262</xdr:colOff>
      <xdr:row>63</xdr:row>
      <xdr:rowOff>101600</xdr:rowOff>
    </xdr:to>
    <xdr:sp macro="" textlink="">
      <xdr:nvSpPr>
        <xdr:cNvPr id="13070655" name="AutoShape 56">
          <a:extLst>
            <a:ext uri="{FF2B5EF4-FFF2-40B4-BE49-F238E27FC236}">
              <a16:creationId xmlns:a16="http://schemas.microsoft.com/office/drawing/2014/main" xmlns="" id="{36578704-8706-4218-B7F0-6DCB2889FFB8}"/>
            </a:ext>
          </a:extLst>
        </xdr:cNvPr>
        <xdr:cNvSpPr>
          <a:spLocks noChangeArrowheads="1"/>
        </xdr:cNvSpPr>
      </xdr:nvSpPr>
      <xdr:spPr bwMode="auto">
        <a:xfrm>
          <a:off x="171451" y="7821613"/>
          <a:ext cx="17783174" cy="1495425"/>
        </a:xfrm>
        <a:prstGeom prst="roundRect">
          <a:avLst>
            <a:gd name="adj" fmla="val 6447"/>
          </a:avLst>
        </a:prstGeom>
        <a:noFill/>
        <a:ln w="38100" algn="ctr">
          <a:solidFill>
            <a:schemeClr val="tx1"/>
          </a:solidFill>
          <a:round/>
          <a:headEnd/>
          <a:tailEnd/>
        </a:ln>
      </xdr:spPr>
    </xdr:sp>
    <xdr:clientData/>
  </xdr:twoCellAnchor>
  <xdr:twoCellAnchor>
    <xdr:from>
      <xdr:col>0</xdr:col>
      <xdr:colOff>106456</xdr:colOff>
      <xdr:row>564</xdr:row>
      <xdr:rowOff>76200</xdr:rowOff>
    </xdr:from>
    <xdr:to>
      <xdr:col>15</xdr:col>
      <xdr:colOff>324971</xdr:colOff>
      <xdr:row>574</xdr:row>
      <xdr:rowOff>6350</xdr:rowOff>
    </xdr:to>
    <xdr:sp macro="" textlink="">
      <xdr:nvSpPr>
        <xdr:cNvPr id="13070636" name="AutoShape 90">
          <a:extLst>
            <a:ext uri="{FF2B5EF4-FFF2-40B4-BE49-F238E27FC236}">
              <a16:creationId xmlns:a16="http://schemas.microsoft.com/office/drawing/2014/main" xmlns="" id="{9A256F20-BA3E-40EE-AE4C-5EF5552E21E0}"/>
            </a:ext>
          </a:extLst>
        </xdr:cNvPr>
        <xdr:cNvSpPr>
          <a:spLocks noChangeArrowheads="1"/>
        </xdr:cNvSpPr>
      </xdr:nvSpPr>
      <xdr:spPr bwMode="auto">
        <a:xfrm>
          <a:off x="106456" y="89891347"/>
          <a:ext cx="16556691" cy="1454150"/>
        </a:xfrm>
        <a:prstGeom prst="roundRect">
          <a:avLst>
            <a:gd name="adj" fmla="val 16667"/>
          </a:avLst>
        </a:prstGeom>
        <a:noFill/>
        <a:ln w="38100" algn="ctr">
          <a:solidFill>
            <a:schemeClr val="accent4">
              <a:lumMod val="50000"/>
            </a:schemeClr>
          </a:solidFill>
          <a:round/>
          <a:headEnd/>
          <a:tailEnd/>
        </a:ln>
      </xdr:spPr>
    </xdr:sp>
    <xdr:clientData/>
  </xdr:twoCellAnchor>
  <xdr:twoCellAnchor>
    <xdr:from>
      <xdr:col>2</xdr:col>
      <xdr:colOff>63500</xdr:colOff>
      <xdr:row>307</xdr:row>
      <xdr:rowOff>139700</xdr:rowOff>
    </xdr:from>
    <xdr:to>
      <xdr:col>4</xdr:col>
      <xdr:colOff>596900</xdr:colOff>
      <xdr:row>335</xdr:row>
      <xdr:rowOff>63500</xdr:rowOff>
    </xdr:to>
    <xdr:graphicFrame macro="">
      <xdr:nvGraphicFramePr>
        <xdr:cNvPr id="13070637" name="Chart 61">
          <a:extLst>
            <a:ext uri="{FF2B5EF4-FFF2-40B4-BE49-F238E27FC236}">
              <a16:creationId xmlns:a16="http://schemas.microsoft.com/office/drawing/2014/main" xmlns="" id="{3BB925D3-AFBB-44B2-8572-112F3174E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374650</xdr:colOff>
      <xdr:row>307</xdr:row>
      <xdr:rowOff>139700</xdr:rowOff>
    </xdr:from>
    <xdr:to>
      <xdr:col>15</xdr:col>
      <xdr:colOff>63500</xdr:colOff>
      <xdr:row>335</xdr:row>
      <xdr:rowOff>63500</xdr:rowOff>
    </xdr:to>
    <xdr:graphicFrame macro="">
      <xdr:nvGraphicFramePr>
        <xdr:cNvPr id="13070638" name="Chart 62">
          <a:extLst>
            <a:ext uri="{FF2B5EF4-FFF2-40B4-BE49-F238E27FC236}">
              <a16:creationId xmlns:a16="http://schemas.microsoft.com/office/drawing/2014/main" xmlns="" id="{7E295409-71D7-4B45-B49B-0CFDE0934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67</xdr:row>
      <xdr:rowOff>101600</xdr:rowOff>
    </xdr:from>
    <xdr:to>
      <xdr:col>7</xdr:col>
      <xdr:colOff>0</xdr:colOff>
      <xdr:row>98</xdr:row>
      <xdr:rowOff>63500</xdr:rowOff>
    </xdr:to>
    <xdr:graphicFrame macro="">
      <xdr:nvGraphicFramePr>
        <xdr:cNvPr id="13070639" name="Chart 63">
          <a:extLst>
            <a:ext uri="{FF2B5EF4-FFF2-40B4-BE49-F238E27FC236}">
              <a16:creationId xmlns:a16="http://schemas.microsoft.com/office/drawing/2014/main" xmlns="" id="{6B0FC74F-D530-4C27-A3F1-3156C4C6E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127000</xdr:colOff>
      <xdr:row>67</xdr:row>
      <xdr:rowOff>101600</xdr:rowOff>
    </xdr:from>
    <xdr:to>
      <xdr:col>15</xdr:col>
      <xdr:colOff>577850</xdr:colOff>
      <xdr:row>98</xdr:row>
      <xdr:rowOff>63500</xdr:rowOff>
    </xdr:to>
    <xdr:graphicFrame macro="">
      <xdr:nvGraphicFramePr>
        <xdr:cNvPr id="13070640" name="Chart 64">
          <a:extLst>
            <a:ext uri="{FF2B5EF4-FFF2-40B4-BE49-F238E27FC236}">
              <a16:creationId xmlns:a16="http://schemas.microsoft.com/office/drawing/2014/main" xmlns="" id="{CFE70EEE-DAB0-4DCB-9118-DE0980BB3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6350</xdr:colOff>
      <xdr:row>173</xdr:row>
      <xdr:rowOff>82550</xdr:rowOff>
    </xdr:from>
    <xdr:to>
      <xdr:col>7</xdr:col>
      <xdr:colOff>19050</xdr:colOff>
      <xdr:row>203</xdr:row>
      <xdr:rowOff>82550</xdr:rowOff>
    </xdr:to>
    <xdr:graphicFrame macro="">
      <xdr:nvGraphicFramePr>
        <xdr:cNvPr id="13070641" name="Chart 65">
          <a:extLst>
            <a:ext uri="{FF2B5EF4-FFF2-40B4-BE49-F238E27FC236}">
              <a16:creationId xmlns:a16="http://schemas.microsoft.com/office/drawing/2014/main" xmlns="" id="{329D8D77-D8A6-462D-BFA3-D2FAE7CB8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146050</xdr:colOff>
      <xdr:row>173</xdr:row>
      <xdr:rowOff>82550</xdr:rowOff>
    </xdr:from>
    <xdr:to>
      <xdr:col>14</xdr:col>
      <xdr:colOff>622300</xdr:colOff>
      <xdr:row>203</xdr:row>
      <xdr:rowOff>88900</xdr:rowOff>
    </xdr:to>
    <xdr:graphicFrame macro="">
      <xdr:nvGraphicFramePr>
        <xdr:cNvPr id="13070642" name="Chart 66">
          <a:extLst>
            <a:ext uri="{FF2B5EF4-FFF2-40B4-BE49-F238E27FC236}">
              <a16:creationId xmlns:a16="http://schemas.microsoft.com/office/drawing/2014/main" xmlns="" id="{720784D8-F9D8-43F2-A558-36156C004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655</xdr:row>
      <xdr:rowOff>19050</xdr:rowOff>
    </xdr:from>
    <xdr:to>
      <xdr:col>7</xdr:col>
      <xdr:colOff>0</xdr:colOff>
      <xdr:row>684</xdr:row>
      <xdr:rowOff>44450</xdr:rowOff>
    </xdr:to>
    <xdr:graphicFrame macro="">
      <xdr:nvGraphicFramePr>
        <xdr:cNvPr id="13070643" name="Chart 67">
          <a:extLst>
            <a:ext uri="{FF2B5EF4-FFF2-40B4-BE49-F238E27FC236}">
              <a16:creationId xmlns:a16="http://schemas.microsoft.com/office/drawing/2014/main" xmlns="" id="{1292DF78-0803-4729-890D-B363E54DC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82550</xdr:colOff>
      <xdr:row>655</xdr:row>
      <xdr:rowOff>19050</xdr:rowOff>
    </xdr:from>
    <xdr:to>
      <xdr:col>14</xdr:col>
      <xdr:colOff>685800</xdr:colOff>
      <xdr:row>684</xdr:row>
      <xdr:rowOff>38100</xdr:rowOff>
    </xdr:to>
    <xdr:graphicFrame macro="">
      <xdr:nvGraphicFramePr>
        <xdr:cNvPr id="13070644" name="Chart 68">
          <a:extLst>
            <a:ext uri="{FF2B5EF4-FFF2-40B4-BE49-F238E27FC236}">
              <a16:creationId xmlns:a16="http://schemas.microsoft.com/office/drawing/2014/main" xmlns="" id="{5C40ADFA-9EDD-49A0-A9A0-687F0D756C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57150</xdr:colOff>
      <xdr:row>754</xdr:row>
      <xdr:rowOff>139700</xdr:rowOff>
    </xdr:from>
    <xdr:to>
      <xdr:col>7</xdr:col>
      <xdr:colOff>6350</xdr:colOff>
      <xdr:row>781</xdr:row>
      <xdr:rowOff>127000</xdr:rowOff>
    </xdr:to>
    <xdr:graphicFrame macro="">
      <xdr:nvGraphicFramePr>
        <xdr:cNvPr id="13070645" name="Chart 74">
          <a:extLst>
            <a:ext uri="{FF2B5EF4-FFF2-40B4-BE49-F238E27FC236}">
              <a16:creationId xmlns:a16="http://schemas.microsoft.com/office/drawing/2014/main" xmlns="" id="{77D73CDF-8542-4BE0-B5C6-6EB2D5E906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101600</xdr:colOff>
      <xdr:row>754</xdr:row>
      <xdr:rowOff>139700</xdr:rowOff>
    </xdr:from>
    <xdr:to>
      <xdr:col>14</xdr:col>
      <xdr:colOff>215900</xdr:colOff>
      <xdr:row>781</xdr:row>
      <xdr:rowOff>127000</xdr:rowOff>
    </xdr:to>
    <xdr:graphicFrame macro="">
      <xdr:nvGraphicFramePr>
        <xdr:cNvPr id="13070646" name="Chart 75">
          <a:extLst>
            <a:ext uri="{FF2B5EF4-FFF2-40B4-BE49-F238E27FC236}">
              <a16:creationId xmlns:a16="http://schemas.microsoft.com/office/drawing/2014/main" xmlns="" id="{CFACAEEE-2F03-4D1E-87E4-331C692F7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133350</xdr:colOff>
      <xdr:row>800</xdr:row>
      <xdr:rowOff>0</xdr:rowOff>
    </xdr:from>
    <xdr:to>
      <xdr:col>17</xdr:col>
      <xdr:colOff>484909</xdr:colOff>
      <xdr:row>827</xdr:row>
      <xdr:rowOff>127000</xdr:rowOff>
    </xdr:to>
    <xdr:graphicFrame macro="">
      <xdr:nvGraphicFramePr>
        <xdr:cNvPr id="13070647" name="Chart 78">
          <a:extLst>
            <a:ext uri="{FF2B5EF4-FFF2-40B4-BE49-F238E27FC236}">
              <a16:creationId xmlns:a16="http://schemas.microsoft.com/office/drawing/2014/main" xmlns="" id="{EEDA3A42-DCFA-471D-BC38-7171A2B40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654050</xdr:colOff>
      <xdr:row>307</xdr:row>
      <xdr:rowOff>139700</xdr:rowOff>
    </xdr:from>
    <xdr:to>
      <xdr:col>9</xdr:col>
      <xdr:colOff>273050</xdr:colOff>
      <xdr:row>335</xdr:row>
      <xdr:rowOff>57150</xdr:rowOff>
    </xdr:to>
    <xdr:graphicFrame macro="">
      <xdr:nvGraphicFramePr>
        <xdr:cNvPr id="13070648" name="Chart 61">
          <a:extLst>
            <a:ext uri="{FF2B5EF4-FFF2-40B4-BE49-F238E27FC236}">
              <a16:creationId xmlns:a16="http://schemas.microsoft.com/office/drawing/2014/main" xmlns="" id="{1A2FFAD3-5F50-48DC-BAE5-9500E4AD7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171450</xdr:colOff>
      <xdr:row>307</xdr:row>
      <xdr:rowOff>139700</xdr:rowOff>
    </xdr:from>
    <xdr:to>
      <xdr:col>21</xdr:col>
      <xdr:colOff>133350</xdr:colOff>
      <xdr:row>335</xdr:row>
      <xdr:rowOff>63500</xdr:rowOff>
    </xdr:to>
    <xdr:graphicFrame macro="">
      <xdr:nvGraphicFramePr>
        <xdr:cNvPr id="13070649" name="Chart 62">
          <a:extLst>
            <a:ext uri="{FF2B5EF4-FFF2-40B4-BE49-F238E27FC236}">
              <a16:creationId xmlns:a16="http://schemas.microsoft.com/office/drawing/2014/main" xmlns="" id="{5CA99B8E-308D-4AF2-8AB5-584D75803A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63500</xdr:colOff>
      <xdr:row>439</xdr:row>
      <xdr:rowOff>107950</xdr:rowOff>
    </xdr:from>
    <xdr:to>
      <xdr:col>6</xdr:col>
      <xdr:colOff>971550</xdr:colOff>
      <xdr:row>467</xdr:row>
      <xdr:rowOff>107950</xdr:rowOff>
    </xdr:to>
    <xdr:graphicFrame macro="">
      <xdr:nvGraphicFramePr>
        <xdr:cNvPr id="13070650" name="Chart 56">
          <a:extLst>
            <a:ext uri="{FF2B5EF4-FFF2-40B4-BE49-F238E27FC236}">
              <a16:creationId xmlns:a16="http://schemas.microsoft.com/office/drawing/2014/main" xmlns="" id="{17D04D70-3239-48CC-BE93-24C57619B1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101600</xdr:colOff>
      <xdr:row>439</xdr:row>
      <xdr:rowOff>107950</xdr:rowOff>
    </xdr:from>
    <xdr:to>
      <xdr:col>14</xdr:col>
      <xdr:colOff>641350</xdr:colOff>
      <xdr:row>467</xdr:row>
      <xdr:rowOff>127000</xdr:rowOff>
    </xdr:to>
    <xdr:graphicFrame macro="">
      <xdr:nvGraphicFramePr>
        <xdr:cNvPr id="13070651" name="Chart 57">
          <a:extLst>
            <a:ext uri="{FF2B5EF4-FFF2-40B4-BE49-F238E27FC236}">
              <a16:creationId xmlns:a16="http://schemas.microsoft.com/office/drawing/2014/main" xmlns="" id="{261F30DA-AF78-467A-BF45-FDB61BF9B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800</xdr:row>
      <xdr:rowOff>0</xdr:rowOff>
    </xdr:from>
    <xdr:to>
      <xdr:col>7</xdr:col>
      <xdr:colOff>44450</xdr:colOff>
      <xdr:row>827</xdr:row>
      <xdr:rowOff>107950</xdr:rowOff>
    </xdr:to>
    <xdr:graphicFrame macro="">
      <xdr:nvGraphicFramePr>
        <xdr:cNvPr id="13070652" name="Chart 45">
          <a:extLst>
            <a:ext uri="{FF2B5EF4-FFF2-40B4-BE49-F238E27FC236}">
              <a16:creationId xmlns:a16="http://schemas.microsoft.com/office/drawing/2014/main" xmlns="" id="{3E2A2EAD-396E-4465-93F9-8F55CCA66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6350</xdr:colOff>
      <xdr:row>577</xdr:row>
      <xdr:rowOff>19050</xdr:rowOff>
    </xdr:from>
    <xdr:to>
      <xdr:col>7</xdr:col>
      <xdr:colOff>0</xdr:colOff>
      <xdr:row>608</xdr:row>
      <xdr:rowOff>76200</xdr:rowOff>
    </xdr:to>
    <xdr:graphicFrame macro="">
      <xdr:nvGraphicFramePr>
        <xdr:cNvPr id="13070653" name="Chart 46">
          <a:extLst>
            <a:ext uri="{FF2B5EF4-FFF2-40B4-BE49-F238E27FC236}">
              <a16:creationId xmlns:a16="http://schemas.microsoft.com/office/drawing/2014/main" xmlns="" id="{E8C7FB07-EB36-4170-A06F-98790C32C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101600</xdr:colOff>
      <xdr:row>577</xdr:row>
      <xdr:rowOff>19050</xdr:rowOff>
    </xdr:from>
    <xdr:to>
      <xdr:col>14</xdr:col>
      <xdr:colOff>679450</xdr:colOff>
      <xdr:row>608</xdr:row>
      <xdr:rowOff>76200</xdr:rowOff>
    </xdr:to>
    <xdr:graphicFrame macro="">
      <xdr:nvGraphicFramePr>
        <xdr:cNvPr id="13070654" name="Chart 47">
          <a:extLst>
            <a:ext uri="{FF2B5EF4-FFF2-40B4-BE49-F238E27FC236}">
              <a16:creationId xmlns:a16="http://schemas.microsoft.com/office/drawing/2014/main" xmlns="" id="{27DB10BC-9083-40D4-A8B0-898A6DA4B2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69851</xdr:colOff>
      <xdr:row>159</xdr:row>
      <xdr:rowOff>67235</xdr:rowOff>
    </xdr:from>
    <xdr:to>
      <xdr:col>16</xdr:col>
      <xdr:colOff>353785</xdr:colOff>
      <xdr:row>170</xdr:row>
      <xdr:rowOff>0</xdr:rowOff>
    </xdr:to>
    <xdr:sp macro="" textlink="">
      <xdr:nvSpPr>
        <xdr:cNvPr id="13070656" name="AutoShape 61">
          <a:extLst>
            <a:ext uri="{FF2B5EF4-FFF2-40B4-BE49-F238E27FC236}">
              <a16:creationId xmlns:a16="http://schemas.microsoft.com/office/drawing/2014/main" xmlns="" id="{E172D67E-1428-4DFD-9DAA-AC3D4EB3591B}"/>
            </a:ext>
          </a:extLst>
        </xdr:cNvPr>
        <xdr:cNvSpPr>
          <a:spLocks noChangeArrowheads="1"/>
        </xdr:cNvSpPr>
      </xdr:nvSpPr>
      <xdr:spPr bwMode="auto">
        <a:xfrm>
          <a:off x="192315" y="23274218"/>
          <a:ext cx="17932399" cy="1620051"/>
        </a:xfrm>
        <a:prstGeom prst="roundRect">
          <a:avLst>
            <a:gd name="adj" fmla="val 16667"/>
          </a:avLst>
        </a:prstGeom>
        <a:noFill/>
        <a:ln w="38100" algn="ctr">
          <a:solidFill>
            <a:schemeClr val="tx1"/>
          </a:solidFill>
          <a:round/>
          <a:headEnd/>
          <a:tailEnd/>
        </a:ln>
      </xdr:spPr>
    </xdr:sp>
    <xdr:clientData/>
  </xdr:twoCellAnchor>
  <xdr:twoCellAnchor>
    <xdr:from>
      <xdr:col>1</xdr:col>
      <xdr:colOff>63500</xdr:colOff>
      <xdr:row>288</xdr:row>
      <xdr:rowOff>6350</xdr:rowOff>
    </xdr:from>
    <xdr:to>
      <xdr:col>16</xdr:col>
      <xdr:colOff>375396</xdr:colOff>
      <xdr:row>304</xdr:row>
      <xdr:rowOff>101600</xdr:rowOff>
    </xdr:to>
    <xdr:sp macro="" textlink="">
      <xdr:nvSpPr>
        <xdr:cNvPr id="13070657" name="AutoShape 68">
          <a:extLst>
            <a:ext uri="{FF2B5EF4-FFF2-40B4-BE49-F238E27FC236}">
              <a16:creationId xmlns:a16="http://schemas.microsoft.com/office/drawing/2014/main" xmlns="" id="{7854578F-0965-4C72-9DF3-C6EAE094ECBC}"/>
            </a:ext>
          </a:extLst>
        </xdr:cNvPr>
        <xdr:cNvSpPr>
          <a:spLocks noChangeArrowheads="1"/>
        </xdr:cNvSpPr>
      </xdr:nvSpPr>
      <xdr:spPr bwMode="auto">
        <a:xfrm>
          <a:off x="186765" y="47508085"/>
          <a:ext cx="17949955" cy="2470897"/>
        </a:xfrm>
        <a:prstGeom prst="roundRect">
          <a:avLst>
            <a:gd name="adj" fmla="val 16667"/>
          </a:avLst>
        </a:prstGeom>
        <a:noFill/>
        <a:ln w="38100" algn="ctr">
          <a:solidFill>
            <a:schemeClr val="accent2">
              <a:lumMod val="50000"/>
            </a:schemeClr>
          </a:solidFill>
          <a:round/>
          <a:headEnd/>
          <a:tailEnd/>
        </a:ln>
      </xdr:spPr>
    </xdr:sp>
    <xdr:clientData/>
  </xdr:twoCellAnchor>
  <xdr:twoCellAnchor>
    <xdr:from>
      <xdr:col>1</xdr:col>
      <xdr:colOff>50425</xdr:colOff>
      <xdr:row>423</xdr:row>
      <xdr:rowOff>101600</xdr:rowOff>
    </xdr:from>
    <xdr:to>
      <xdr:col>17</xdr:col>
      <xdr:colOff>40820</xdr:colOff>
      <xdr:row>436</xdr:row>
      <xdr:rowOff>38100</xdr:rowOff>
    </xdr:to>
    <xdr:sp macro="" textlink="">
      <xdr:nvSpPr>
        <xdr:cNvPr id="13070658" name="AutoShape 78">
          <a:extLst>
            <a:ext uri="{FF2B5EF4-FFF2-40B4-BE49-F238E27FC236}">
              <a16:creationId xmlns:a16="http://schemas.microsoft.com/office/drawing/2014/main" xmlns="" id="{EFD493E8-37C5-4EE6-8E1A-26A9ACBAD7D5}"/>
            </a:ext>
          </a:extLst>
        </xdr:cNvPr>
        <xdr:cNvSpPr>
          <a:spLocks noChangeArrowheads="1"/>
        </xdr:cNvSpPr>
      </xdr:nvSpPr>
      <xdr:spPr bwMode="auto">
        <a:xfrm>
          <a:off x="172889" y="67035136"/>
          <a:ext cx="18346431" cy="1923143"/>
        </a:xfrm>
        <a:prstGeom prst="roundRect">
          <a:avLst>
            <a:gd name="adj" fmla="val 16667"/>
          </a:avLst>
        </a:prstGeom>
        <a:noFill/>
        <a:ln w="38100" algn="ctr">
          <a:solidFill>
            <a:schemeClr val="accent3">
              <a:lumMod val="50000"/>
            </a:schemeClr>
          </a:solidFill>
          <a:round/>
          <a:headEnd/>
          <a:tailEnd/>
        </a:ln>
      </xdr:spPr>
    </xdr:sp>
    <xdr:clientData/>
  </xdr:twoCellAnchor>
  <xdr:twoCellAnchor>
    <xdr:from>
      <xdr:col>1</xdr:col>
      <xdr:colOff>22410</xdr:colOff>
      <xdr:row>643</xdr:row>
      <xdr:rowOff>44823</xdr:rowOff>
    </xdr:from>
    <xdr:to>
      <xdr:col>16</xdr:col>
      <xdr:colOff>257734</xdr:colOff>
      <xdr:row>652</xdr:row>
      <xdr:rowOff>0</xdr:rowOff>
    </xdr:to>
    <xdr:sp macro="" textlink="">
      <xdr:nvSpPr>
        <xdr:cNvPr id="13070659" name="AutoShape 96">
          <a:extLst>
            <a:ext uri="{FF2B5EF4-FFF2-40B4-BE49-F238E27FC236}">
              <a16:creationId xmlns:a16="http://schemas.microsoft.com/office/drawing/2014/main" xmlns="" id="{7E6E533C-EAD4-441A-8DDE-AEE2CDDFB810}"/>
            </a:ext>
          </a:extLst>
        </xdr:cNvPr>
        <xdr:cNvSpPr>
          <a:spLocks noChangeArrowheads="1"/>
        </xdr:cNvSpPr>
      </xdr:nvSpPr>
      <xdr:spPr bwMode="auto">
        <a:xfrm>
          <a:off x="145675" y="100712868"/>
          <a:ext cx="17979839" cy="1182220"/>
        </a:xfrm>
        <a:prstGeom prst="roundRect">
          <a:avLst>
            <a:gd name="adj" fmla="val 16667"/>
          </a:avLst>
        </a:prstGeom>
        <a:noFill/>
        <a:ln w="38100" algn="ctr">
          <a:solidFill>
            <a:schemeClr val="accent5">
              <a:lumMod val="50000"/>
            </a:schemeClr>
          </a:solidFill>
          <a:round/>
          <a:headEnd/>
          <a:tailEnd/>
        </a:ln>
      </xdr:spPr>
    </xdr:sp>
    <xdr:clientData/>
  </xdr:twoCellAnchor>
  <xdr:twoCellAnchor>
    <xdr:from>
      <xdr:col>1</xdr:col>
      <xdr:colOff>82550</xdr:colOff>
      <xdr:row>742</xdr:row>
      <xdr:rowOff>101600</xdr:rowOff>
    </xdr:from>
    <xdr:to>
      <xdr:col>15</xdr:col>
      <xdr:colOff>257736</xdr:colOff>
      <xdr:row>751</xdr:row>
      <xdr:rowOff>139700</xdr:rowOff>
    </xdr:to>
    <xdr:sp macro="" textlink="">
      <xdr:nvSpPr>
        <xdr:cNvPr id="13070660" name="AutoShape 103">
          <a:extLst>
            <a:ext uri="{FF2B5EF4-FFF2-40B4-BE49-F238E27FC236}">
              <a16:creationId xmlns:a16="http://schemas.microsoft.com/office/drawing/2014/main" xmlns="" id="{2CA71AB4-B616-4533-BC67-0CAE1C5E40A5}"/>
            </a:ext>
          </a:extLst>
        </xdr:cNvPr>
        <xdr:cNvSpPr>
          <a:spLocks noChangeArrowheads="1"/>
        </xdr:cNvSpPr>
      </xdr:nvSpPr>
      <xdr:spPr bwMode="auto">
        <a:xfrm>
          <a:off x="205815" y="116889306"/>
          <a:ext cx="16390097" cy="1394012"/>
        </a:xfrm>
        <a:prstGeom prst="roundRect">
          <a:avLst>
            <a:gd name="adj" fmla="val 16667"/>
          </a:avLst>
        </a:prstGeom>
        <a:noFill/>
        <a:ln w="38100" algn="ctr">
          <a:solidFill>
            <a:schemeClr val="accent6">
              <a:lumMod val="50000"/>
            </a:schemeClr>
          </a:solidFill>
          <a:round/>
          <a:headEnd/>
          <a:tailEnd/>
        </a:ln>
      </xdr:spPr>
    </xdr:sp>
    <xdr:clientData/>
  </xdr:twoCellAnchor>
  <xdr:twoCellAnchor>
    <xdr:from>
      <xdr:col>0</xdr:col>
      <xdr:colOff>115661</xdr:colOff>
      <xdr:row>788</xdr:row>
      <xdr:rowOff>68035</xdr:rowOff>
    </xdr:from>
    <xdr:to>
      <xdr:col>16</xdr:col>
      <xdr:colOff>312964</xdr:colOff>
      <xdr:row>800</xdr:row>
      <xdr:rowOff>6802</xdr:rowOff>
    </xdr:to>
    <xdr:sp macro="" textlink="">
      <xdr:nvSpPr>
        <xdr:cNvPr id="28" name="AutoShape 103">
          <a:extLst>
            <a:ext uri="{FF2B5EF4-FFF2-40B4-BE49-F238E27FC236}">
              <a16:creationId xmlns:a16="http://schemas.microsoft.com/office/drawing/2014/main" xmlns="" id="{21913DE4-34D8-4046-A1DE-7AB5ABD92CC5}"/>
            </a:ext>
          </a:extLst>
        </xdr:cNvPr>
        <xdr:cNvSpPr>
          <a:spLocks noChangeArrowheads="1"/>
        </xdr:cNvSpPr>
      </xdr:nvSpPr>
      <xdr:spPr bwMode="auto">
        <a:xfrm>
          <a:off x="115661" y="106414661"/>
          <a:ext cx="17968232" cy="1734910"/>
        </a:xfrm>
        <a:prstGeom prst="roundRect">
          <a:avLst>
            <a:gd name="adj" fmla="val 16667"/>
          </a:avLst>
        </a:prstGeom>
        <a:noFill/>
        <a:ln w="38100" algn="ctr">
          <a:solidFill>
            <a:srgbClr val="F6AB38"/>
          </a:solidFill>
          <a:round/>
          <a:headEnd/>
          <a:tailEnd/>
        </a:ln>
      </xdr:spPr>
    </xdr:sp>
    <xdr:clientData/>
  </xdr:twoCellAnchor>
  <xdr:twoCellAnchor editAs="oneCell">
    <xdr:from>
      <xdr:col>3</xdr:col>
      <xdr:colOff>1137397</xdr:colOff>
      <xdr:row>11</xdr:row>
      <xdr:rowOff>5602</xdr:rowOff>
    </xdr:from>
    <xdr:to>
      <xdr:col>3</xdr:col>
      <xdr:colOff>1502962</xdr:colOff>
      <xdr:row>13</xdr:row>
      <xdr:rowOff>79814</xdr:rowOff>
    </xdr:to>
    <xdr:pic>
      <xdr:nvPicPr>
        <xdr:cNvPr id="6" name="Image 5">
          <a:extLst>
            <a:ext uri="{FF2B5EF4-FFF2-40B4-BE49-F238E27FC236}">
              <a16:creationId xmlns:a16="http://schemas.microsoft.com/office/drawing/2014/main" xmlns="" id="{166388F2-5AA0-465F-8505-76C52663417C}"/>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5355611" y="2454888"/>
          <a:ext cx="365565" cy="373569"/>
        </a:xfrm>
        <a:prstGeom prst="rect">
          <a:avLst/>
        </a:prstGeom>
      </xdr:spPr>
    </xdr:pic>
    <xdr:clientData/>
  </xdr:twoCellAnchor>
  <xdr:twoCellAnchor editAs="oneCell">
    <xdr:from>
      <xdr:col>3</xdr:col>
      <xdr:colOff>1165412</xdr:colOff>
      <xdr:row>26</xdr:row>
      <xdr:rowOff>123264</xdr:rowOff>
    </xdr:from>
    <xdr:to>
      <xdr:col>3</xdr:col>
      <xdr:colOff>1525412</xdr:colOff>
      <xdr:row>29</xdr:row>
      <xdr:rowOff>46235</xdr:rowOff>
    </xdr:to>
    <xdr:pic>
      <xdr:nvPicPr>
        <xdr:cNvPr id="8" name="Image 7">
          <a:extLst>
            <a:ext uri="{FF2B5EF4-FFF2-40B4-BE49-F238E27FC236}">
              <a16:creationId xmlns:a16="http://schemas.microsoft.com/office/drawing/2014/main" xmlns="" id="{F131C9F2-AD8B-4C05-A485-FE162B0D01A7}"/>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5378824" y="4297456"/>
          <a:ext cx="360000" cy="360000"/>
        </a:xfrm>
        <a:prstGeom prst="rect">
          <a:avLst/>
        </a:prstGeom>
      </xdr:spPr>
    </xdr:pic>
    <xdr:clientData/>
  </xdr:twoCellAnchor>
  <xdr:twoCellAnchor editAs="oneCell">
    <xdr:from>
      <xdr:col>3</xdr:col>
      <xdr:colOff>1159809</xdr:colOff>
      <xdr:row>39</xdr:row>
      <xdr:rowOff>22411</xdr:rowOff>
    </xdr:from>
    <xdr:to>
      <xdr:col>3</xdr:col>
      <xdr:colOff>1519809</xdr:colOff>
      <xdr:row>41</xdr:row>
      <xdr:rowOff>91058</xdr:rowOff>
    </xdr:to>
    <xdr:pic>
      <xdr:nvPicPr>
        <xdr:cNvPr id="10" name="Image 9">
          <a:extLst>
            <a:ext uri="{FF2B5EF4-FFF2-40B4-BE49-F238E27FC236}">
              <a16:creationId xmlns:a16="http://schemas.microsoft.com/office/drawing/2014/main" xmlns="" id="{7ADC7D92-C18F-4DF4-A167-126DE96D4A9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373221" y="5799044"/>
          <a:ext cx="360000" cy="360000"/>
        </a:xfrm>
        <a:prstGeom prst="rect">
          <a:avLst/>
        </a:prstGeom>
      </xdr:spPr>
    </xdr:pic>
    <xdr:clientData/>
  </xdr:twoCellAnchor>
  <xdr:twoCellAnchor editAs="oneCell">
    <xdr:from>
      <xdr:col>3</xdr:col>
      <xdr:colOff>1182220</xdr:colOff>
      <xdr:row>105</xdr:row>
      <xdr:rowOff>56029</xdr:rowOff>
    </xdr:from>
    <xdr:to>
      <xdr:col>3</xdr:col>
      <xdr:colOff>1542220</xdr:colOff>
      <xdr:row>107</xdr:row>
      <xdr:rowOff>91058</xdr:rowOff>
    </xdr:to>
    <xdr:pic>
      <xdr:nvPicPr>
        <xdr:cNvPr id="12" name="Image 11">
          <a:extLst>
            <a:ext uri="{FF2B5EF4-FFF2-40B4-BE49-F238E27FC236}">
              <a16:creationId xmlns:a16="http://schemas.microsoft.com/office/drawing/2014/main" xmlns="" id="{52E5F393-1947-405F-B06C-959A64BDD261}"/>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5395632" y="15514544"/>
          <a:ext cx="360000" cy="360000"/>
        </a:xfrm>
        <a:prstGeom prst="rect">
          <a:avLst/>
        </a:prstGeom>
      </xdr:spPr>
    </xdr:pic>
    <xdr:clientData/>
  </xdr:twoCellAnchor>
  <xdr:twoCellAnchor editAs="oneCell">
    <xdr:from>
      <xdr:col>3</xdr:col>
      <xdr:colOff>1120588</xdr:colOff>
      <xdr:row>122</xdr:row>
      <xdr:rowOff>224119</xdr:rowOff>
    </xdr:from>
    <xdr:to>
      <xdr:col>3</xdr:col>
      <xdr:colOff>1480588</xdr:colOff>
      <xdr:row>124</xdr:row>
      <xdr:rowOff>46236</xdr:rowOff>
    </xdr:to>
    <xdr:pic>
      <xdr:nvPicPr>
        <xdr:cNvPr id="14" name="Image 13">
          <a:extLst>
            <a:ext uri="{FF2B5EF4-FFF2-40B4-BE49-F238E27FC236}">
              <a16:creationId xmlns:a16="http://schemas.microsoft.com/office/drawing/2014/main" xmlns="" id="{21AA581A-41F5-4829-8141-43865E1CA8B7}"/>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334000" y="17940619"/>
          <a:ext cx="360000" cy="360000"/>
        </a:xfrm>
        <a:prstGeom prst="rect">
          <a:avLst/>
        </a:prstGeom>
      </xdr:spPr>
    </xdr:pic>
    <xdr:clientData/>
  </xdr:twoCellAnchor>
  <xdr:twoCellAnchor editAs="oneCell">
    <xdr:from>
      <xdr:col>3</xdr:col>
      <xdr:colOff>1143000</xdr:colOff>
      <xdr:row>134</xdr:row>
      <xdr:rowOff>235325</xdr:rowOff>
    </xdr:from>
    <xdr:to>
      <xdr:col>3</xdr:col>
      <xdr:colOff>1503000</xdr:colOff>
      <xdr:row>136</xdr:row>
      <xdr:rowOff>85457</xdr:rowOff>
    </xdr:to>
    <xdr:pic>
      <xdr:nvPicPr>
        <xdr:cNvPr id="16" name="Image 15">
          <a:extLst>
            <a:ext uri="{FF2B5EF4-FFF2-40B4-BE49-F238E27FC236}">
              <a16:creationId xmlns:a16="http://schemas.microsoft.com/office/drawing/2014/main" xmlns="" id="{51D303AE-F0A2-429F-9630-DE182B34BD63}"/>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5356412" y="19834413"/>
          <a:ext cx="360000" cy="360000"/>
        </a:xfrm>
        <a:prstGeom prst="rect">
          <a:avLst/>
        </a:prstGeom>
      </xdr:spPr>
    </xdr:pic>
    <xdr:clientData/>
  </xdr:twoCellAnchor>
  <xdr:twoCellAnchor editAs="oneCell">
    <xdr:from>
      <xdr:col>3</xdr:col>
      <xdr:colOff>1154205</xdr:colOff>
      <xdr:row>145</xdr:row>
      <xdr:rowOff>240926</xdr:rowOff>
    </xdr:from>
    <xdr:to>
      <xdr:col>3</xdr:col>
      <xdr:colOff>1514205</xdr:colOff>
      <xdr:row>147</xdr:row>
      <xdr:rowOff>46236</xdr:rowOff>
    </xdr:to>
    <xdr:pic>
      <xdr:nvPicPr>
        <xdr:cNvPr id="18" name="Image 17">
          <a:extLst>
            <a:ext uri="{FF2B5EF4-FFF2-40B4-BE49-F238E27FC236}">
              <a16:creationId xmlns:a16="http://schemas.microsoft.com/office/drawing/2014/main" xmlns="" id="{998F8AD4-D73D-4B3C-8015-BF3647B9CC6F}"/>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5367617" y="21380824"/>
          <a:ext cx="360000" cy="360000"/>
        </a:xfrm>
        <a:prstGeom prst="rect">
          <a:avLst/>
        </a:prstGeom>
      </xdr:spPr>
    </xdr:pic>
    <xdr:clientData/>
  </xdr:twoCellAnchor>
  <xdr:twoCellAnchor editAs="oneCell">
    <xdr:from>
      <xdr:col>0</xdr:col>
      <xdr:colOff>44823</xdr:colOff>
      <xdr:row>0</xdr:row>
      <xdr:rowOff>72839</xdr:rowOff>
    </xdr:from>
    <xdr:to>
      <xdr:col>2</xdr:col>
      <xdr:colOff>448001</xdr:colOff>
      <xdr:row>3</xdr:row>
      <xdr:rowOff>162485</xdr:rowOff>
    </xdr:to>
    <xdr:pic>
      <xdr:nvPicPr>
        <xdr:cNvPr id="22" name="Image 21">
          <a:extLst>
            <a:ext uri="{FF2B5EF4-FFF2-40B4-BE49-F238E27FC236}">
              <a16:creationId xmlns:a16="http://schemas.microsoft.com/office/drawing/2014/main" xmlns="" id="{D2A3BEBD-C3C9-463C-A772-A81DE45EDD8B}"/>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4823" y="72839"/>
          <a:ext cx="672119" cy="666750"/>
        </a:xfrm>
        <a:prstGeom prst="rect">
          <a:avLst/>
        </a:prstGeom>
      </xdr:spPr>
    </xdr:pic>
    <xdr:clientData/>
  </xdr:twoCellAnchor>
  <xdr:twoCellAnchor editAs="oneCell">
    <xdr:from>
      <xdr:col>3</xdr:col>
      <xdr:colOff>1086969</xdr:colOff>
      <xdr:row>222</xdr:row>
      <xdr:rowOff>386604</xdr:rowOff>
    </xdr:from>
    <xdr:to>
      <xdr:col>3</xdr:col>
      <xdr:colOff>1446969</xdr:colOff>
      <xdr:row>224</xdr:row>
      <xdr:rowOff>107869</xdr:rowOff>
    </xdr:to>
    <xdr:pic>
      <xdr:nvPicPr>
        <xdr:cNvPr id="36" name="Image 35">
          <a:extLst>
            <a:ext uri="{FF2B5EF4-FFF2-40B4-BE49-F238E27FC236}">
              <a16:creationId xmlns:a16="http://schemas.microsoft.com/office/drawing/2014/main" xmlns="" id="{FD9026B3-335D-4E46-857C-87724E2DE655}"/>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5300381" y="36200604"/>
          <a:ext cx="360000" cy="360000"/>
        </a:xfrm>
        <a:prstGeom prst="rect">
          <a:avLst/>
        </a:prstGeom>
      </xdr:spPr>
    </xdr:pic>
    <xdr:clientData/>
  </xdr:twoCellAnchor>
  <xdr:twoCellAnchor editAs="oneCell">
    <xdr:from>
      <xdr:col>3</xdr:col>
      <xdr:colOff>1159808</xdr:colOff>
      <xdr:row>209</xdr:row>
      <xdr:rowOff>44823</xdr:rowOff>
    </xdr:from>
    <xdr:to>
      <xdr:col>3</xdr:col>
      <xdr:colOff>1519808</xdr:colOff>
      <xdr:row>211</xdr:row>
      <xdr:rowOff>96661</xdr:rowOff>
    </xdr:to>
    <xdr:pic>
      <xdr:nvPicPr>
        <xdr:cNvPr id="37" name="Image 36">
          <a:extLst>
            <a:ext uri="{FF2B5EF4-FFF2-40B4-BE49-F238E27FC236}">
              <a16:creationId xmlns:a16="http://schemas.microsoft.com/office/drawing/2014/main" xmlns="" id="{B8C7F0C7-F4B8-44B3-BEAB-FA7856385251}"/>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5373220" y="33763323"/>
          <a:ext cx="360000" cy="360000"/>
        </a:xfrm>
        <a:prstGeom prst="rect">
          <a:avLst/>
        </a:prstGeom>
      </xdr:spPr>
    </xdr:pic>
    <xdr:clientData/>
  </xdr:twoCellAnchor>
  <xdr:twoCellAnchor editAs="oneCell">
    <xdr:from>
      <xdr:col>3</xdr:col>
      <xdr:colOff>1103779</xdr:colOff>
      <xdr:row>239</xdr:row>
      <xdr:rowOff>543486</xdr:rowOff>
    </xdr:from>
    <xdr:to>
      <xdr:col>3</xdr:col>
      <xdr:colOff>1463779</xdr:colOff>
      <xdr:row>241</xdr:row>
      <xdr:rowOff>85456</xdr:rowOff>
    </xdr:to>
    <xdr:pic>
      <xdr:nvPicPr>
        <xdr:cNvPr id="38" name="Image 37">
          <a:extLst>
            <a:ext uri="{FF2B5EF4-FFF2-40B4-BE49-F238E27FC236}">
              <a16:creationId xmlns:a16="http://schemas.microsoft.com/office/drawing/2014/main" xmlns="" id="{D303D5CF-BC08-4639-A0D3-E3AC49B6FF8D}"/>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5317191" y="38946045"/>
          <a:ext cx="360000" cy="360000"/>
        </a:xfrm>
        <a:prstGeom prst="rect">
          <a:avLst/>
        </a:prstGeom>
      </xdr:spPr>
    </xdr:pic>
    <xdr:clientData/>
  </xdr:twoCellAnchor>
  <xdr:twoCellAnchor editAs="oneCell">
    <xdr:from>
      <xdr:col>3</xdr:col>
      <xdr:colOff>1081368</xdr:colOff>
      <xdr:row>252</xdr:row>
      <xdr:rowOff>61632</xdr:rowOff>
    </xdr:from>
    <xdr:to>
      <xdr:col>3</xdr:col>
      <xdr:colOff>1441368</xdr:colOff>
      <xdr:row>254</xdr:row>
      <xdr:rowOff>96661</xdr:rowOff>
    </xdr:to>
    <xdr:pic>
      <xdr:nvPicPr>
        <xdr:cNvPr id="39" name="Image 38">
          <a:extLst>
            <a:ext uri="{FF2B5EF4-FFF2-40B4-BE49-F238E27FC236}">
              <a16:creationId xmlns:a16="http://schemas.microsoft.com/office/drawing/2014/main" xmlns="" id="{7DA95DF3-CA9B-4E82-B556-2D12681597E3}"/>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5294780" y="40744588"/>
          <a:ext cx="360000" cy="360000"/>
        </a:xfrm>
        <a:prstGeom prst="rect">
          <a:avLst/>
        </a:prstGeom>
      </xdr:spPr>
    </xdr:pic>
    <xdr:clientData/>
  </xdr:twoCellAnchor>
  <xdr:twoCellAnchor editAs="oneCell">
    <xdr:from>
      <xdr:col>3</xdr:col>
      <xdr:colOff>1148603</xdr:colOff>
      <xdr:row>272</xdr:row>
      <xdr:rowOff>173691</xdr:rowOff>
    </xdr:from>
    <xdr:to>
      <xdr:col>3</xdr:col>
      <xdr:colOff>1508603</xdr:colOff>
      <xdr:row>274</xdr:row>
      <xdr:rowOff>51838</xdr:rowOff>
    </xdr:to>
    <xdr:pic>
      <xdr:nvPicPr>
        <xdr:cNvPr id="41" name="Image 40">
          <a:extLst>
            <a:ext uri="{FF2B5EF4-FFF2-40B4-BE49-F238E27FC236}">
              <a16:creationId xmlns:a16="http://schemas.microsoft.com/office/drawing/2014/main" xmlns="" id="{AD8C6D36-1EE5-4959-9796-8B0285E0B616}"/>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362015" y="43618897"/>
          <a:ext cx="360000" cy="360000"/>
        </a:xfrm>
        <a:prstGeom prst="rect">
          <a:avLst/>
        </a:prstGeom>
      </xdr:spPr>
    </xdr:pic>
    <xdr:clientData/>
  </xdr:twoCellAnchor>
  <xdr:twoCellAnchor editAs="oneCell">
    <xdr:from>
      <xdr:col>3</xdr:col>
      <xdr:colOff>1165412</xdr:colOff>
      <xdr:row>341</xdr:row>
      <xdr:rowOff>56029</xdr:rowOff>
    </xdr:from>
    <xdr:to>
      <xdr:col>3</xdr:col>
      <xdr:colOff>1525412</xdr:colOff>
      <xdr:row>343</xdr:row>
      <xdr:rowOff>99062</xdr:rowOff>
    </xdr:to>
    <xdr:pic>
      <xdr:nvPicPr>
        <xdr:cNvPr id="42" name="Image 41">
          <a:extLst>
            <a:ext uri="{FF2B5EF4-FFF2-40B4-BE49-F238E27FC236}">
              <a16:creationId xmlns:a16="http://schemas.microsoft.com/office/drawing/2014/main" xmlns="" id="{ACDB5CA4-CCB9-466F-813B-8A423FE4DA3E}"/>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5378824" y="53692985"/>
          <a:ext cx="360000" cy="368004"/>
        </a:xfrm>
        <a:prstGeom prst="rect">
          <a:avLst/>
        </a:prstGeom>
      </xdr:spPr>
    </xdr:pic>
    <xdr:clientData/>
  </xdr:twoCellAnchor>
  <xdr:twoCellAnchor editAs="oneCell">
    <xdr:from>
      <xdr:col>3</xdr:col>
      <xdr:colOff>1148602</xdr:colOff>
      <xdr:row>381</xdr:row>
      <xdr:rowOff>209709</xdr:rowOff>
    </xdr:from>
    <xdr:to>
      <xdr:col>3</xdr:col>
      <xdr:colOff>1508602</xdr:colOff>
      <xdr:row>383</xdr:row>
      <xdr:rowOff>99863</xdr:rowOff>
    </xdr:to>
    <xdr:pic>
      <xdr:nvPicPr>
        <xdr:cNvPr id="43" name="Image 42">
          <a:extLst>
            <a:ext uri="{FF2B5EF4-FFF2-40B4-BE49-F238E27FC236}">
              <a16:creationId xmlns:a16="http://schemas.microsoft.com/office/drawing/2014/main" xmlns="" id="{164FC829-86EA-4E93-B262-9D5DA45C5F13}"/>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5362014" y="58911724"/>
          <a:ext cx="360000" cy="372007"/>
        </a:xfrm>
        <a:prstGeom prst="rect">
          <a:avLst/>
        </a:prstGeom>
      </xdr:spPr>
    </xdr:pic>
    <xdr:clientData/>
  </xdr:twoCellAnchor>
  <xdr:twoCellAnchor editAs="oneCell">
    <xdr:from>
      <xdr:col>3</xdr:col>
      <xdr:colOff>1126189</xdr:colOff>
      <xdr:row>369</xdr:row>
      <xdr:rowOff>168890</xdr:rowOff>
    </xdr:from>
    <xdr:to>
      <xdr:col>3</xdr:col>
      <xdr:colOff>1486189</xdr:colOff>
      <xdr:row>371</xdr:row>
      <xdr:rowOff>59042</xdr:rowOff>
    </xdr:to>
    <xdr:pic>
      <xdr:nvPicPr>
        <xdr:cNvPr id="44" name="Image 43">
          <a:extLst>
            <a:ext uri="{FF2B5EF4-FFF2-40B4-BE49-F238E27FC236}">
              <a16:creationId xmlns:a16="http://schemas.microsoft.com/office/drawing/2014/main" xmlns="" id="{AE794E51-A91A-4CB6-B890-2D5627E737B1}"/>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5339601" y="57369317"/>
          <a:ext cx="360000" cy="372005"/>
        </a:xfrm>
        <a:prstGeom prst="rect">
          <a:avLst/>
        </a:prstGeom>
      </xdr:spPr>
    </xdr:pic>
    <xdr:clientData/>
  </xdr:twoCellAnchor>
  <xdr:twoCellAnchor editAs="oneCell">
    <xdr:from>
      <xdr:col>3</xdr:col>
      <xdr:colOff>1148602</xdr:colOff>
      <xdr:row>392</xdr:row>
      <xdr:rowOff>167288</xdr:rowOff>
    </xdr:from>
    <xdr:to>
      <xdr:col>3</xdr:col>
      <xdr:colOff>1508602</xdr:colOff>
      <xdr:row>394</xdr:row>
      <xdr:rowOff>53439</xdr:rowOff>
    </xdr:to>
    <xdr:pic>
      <xdr:nvPicPr>
        <xdr:cNvPr id="45" name="Image 44">
          <a:extLst>
            <a:ext uri="{FF2B5EF4-FFF2-40B4-BE49-F238E27FC236}">
              <a16:creationId xmlns:a16="http://schemas.microsoft.com/office/drawing/2014/main" xmlns="" id="{639FA1DE-4305-4423-B629-5BE7C28D52FE}"/>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5362014" y="60387700"/>
          <a:ext cx="360000" cy="368004"/>
        </a:xfrm>
        <a:prstGeom prst="rect">
          <a:avLst/>
        </a:prstGeom>
      </xdr:spPr>
    </xdr:pic>
    <xdr:clientData/>
  </xdr:twoCellAnchor>
  <xdr:twoCellAnchor editAs="oneCell">
    <xdr:from>
      <xdr:col>3</xdr:col>
      <xdr:colOff>1148602</xdr:colOff>
      <xdr:row>358</xdr:row>
      <xdr:rowOff>133672</xdr:rowOff>
    </xdr:from>
    <xdr:to>
      <xdr:col>3</xdr:col>
      <xdr:colOff>1508602</xdr:colOff>
      <xdr:row>360</xdr:row>
      <xdr:rowOff>47838</xdr:rowOff>
    </xdr:to>
    <xdr:pic>
      <xdr:nvPicPr>
        <xdr:cNvPr id="46" name="Image 45">
          <a:extLst>
            <a:ext uri="{FF2B5EF4-FFF2-40B4-BE49-F238E27FC236}">
              <a16:creationId xmlns:a16="http://schemas.microsoft.com/office/drawing/2014/main" xmlns="" id="{1965E9C1-4289-4ECD-A8B4-6D1C2CC89597}"/>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5362014" y="56006201"/>
          <a:ext cx="360000" cy="368004"/>
        </a:xfrm>
        <a:prstGeom prst="rect">
          <a:avLst/>
        </a:prstGeom>
      </xdr:spPr>
    </xdr:pic>
    <xdr:clientData/>
  </xdr:twoCellAnchor>
  <xdr:twoCellAnchor editAs="oneCell">
    <xdr:from>
      <xdr:col>3</xdr:col>
      <xdr:colOff>1182220</xdr:colOff>
      <xdr:row>405</xdr:row>
      <xdr:rowOff>100854</xdr:rowOff>
    </xdr:from>
    <xdr:to>
      <xdr:col>3</xdr:col>
      <xdr:colOff>1542220</xdr:colOff>
      <xdr:row>406</xdr:row>
      <xdr:rowOff>113472</xdr:rowOff>
    </xdr:to>
    <xdr:pic>
      <xdr:nvPicPr>
        <xdr:cNvPr id="3" name="Image 2">
          <a:extLst>
            <a:ext uri="{FF2B5EF4-FFF2-40B4-BE49-F238E27FC236}">
              <a16:creationId xmlns:a16="http://schemas.microsoft.com/office/drawing/2014/main" xmlns="" id="{5600FCDC-DEAB-4D6C-8264-773C58E281DF}"/>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5395632" y="62131016"/>
          <a:ext cx="360000" cy="360000"/>
        </a:xfrm>
        <a:prstGeom prst="rect">
          <a:avLst/>
        </a:prstGeom>
      </xdr:spPr>
    </xdr:pic>
    <xdr:clientData/>
  </xdr:twoCellAnchor>
  <xdr:twoCellAnchor editAs="oneCell">
    <xdr:from>
      <xdr:col>3</xdr:col>
      <xdr:colOff>1030941</xdr:colOff>
      <xdr:row>473</xdr:row>
      <xdr:rowOff>218514</xdr:rowOff>
    </xdr:from>
    <xdr:to>
      <xdr:col>3</xdr:col>
      <xdr:colOff>1390941</xdr:colOff>
      <xdr:row>475</xdr:row>
      <xdr:rowOff>76649</xdr:rowOff>
    </xdr:to>
    <xdr:pic>
      <xdr:nvPicPr>
        <xdr:cNvPr id="49" name="Image 48">
          <a:extLst>
            <a:ext uri="{FF2B5EF4-FFF2-40B4-BE49-F238E27FC236}">
              <a16:creationId xmlns:a16="http://schemas.microsoft.com/office/drawing/2014/main" xmlns="" id="{9E731B56-7E95-4D7F-83EC-F640719BD7D9}"/>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5244353" y="71684029"/>
          <a:ext cx="360000" cy="368004"/>
        </a:xfrm>
        <a:prstGeom prst="rect">
          <a:avLst/>
        </a:prstGeom>
      </xdr:spPr>
    </xdr:pic>
    <xdr:clientData/>
  </xdr:twoCellAnchor>
  <xdr:twoCellAnchor editAs="oneCell">
    <xdr:from>
      <xdr:col>3</xdr:col>
      <xdr:colOff>1176217</xdr:colOff>
      <xdr:row>492</xdr:row>
      <xdr:rowOff>88046</xdr:rowOff>
    </xdr:from>
    <xdr:to>
      <xdr:col>3</xdr:col>
      <xdr:colOff>1536217</xdr:colOff>
      <xdr:row>494</xdr:row>
      <xdr:rowOff>43433</xdr:rowOff>
    </xdr:to>
    <xdr:pic>
      <xdr:nvPicPr>
        <xdr:cNvPr id="50" name="Image 49">
          <a:extLst>
            <a:ext uri="{FF2B5EF4-FFF2-40B4-BE49-F238E27FC236}">
              <a16:creationId xmlns:a16="http://schemas.microsoft.com/office/drawing/2014/main" xmlns="" id="{DCD4C8DC-1E4E-465B-BCD5-70FCE2E606BE}"/>
            </a:ext>
          </a:extLst>
        </xdr:cNvPr>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5394431" y="79533350"/>
          <a:ext cx="360000" cy="384012"/>
        </a:xfrm>
        <a:prstGeom prst="rect">
          <a:avLst/>
        </a:prstGeom>
      </xdr:spPr>
    </xdr:pic>
    <xdr:clientData/>
  </xdr:twoCellAnchor>
  <xdr:twoCellAnchor editAs="oneCell">
    <xdr:from>
      <xdr:col>3</xdr:col>
      <xdr:colOff>1136117</xdr:colOff>
      <xdr:row>546</xdr:row>
      <xdr:rowOff>173212</xdr:rowOff>
    </xdr:from>
    <xdr:to>
      <xdr:col>3</xdr:col>
      <xdr:colOff>1496117</xdr:colOff>
      <xdr:row>548</xdr:row>
      <xdr:rowOff>87378</xdr:rowOff>
    </xdr:to>
    <xdr:pic>
      <xdr:nvPicPr>
        <xdr:cNvPr id="51" name="Image 50">
          <a:extLst>
            <a:ext uri="{FF2B5EF4-FFF2-40B4-BE49-F238E27FC236}">
              <a16:creationId xmlns:a16="http://schemas.microsoft.com/office/drawing/2014/main" xmlns="" id="{882ED628-B05E-4A18-AB9B-C41BF820D705}"/>
            </a:ext>
          </a:extLst>
        </xdr:cNvPr>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5349529" y="78423888"/>
          <a:ext cx="360000" cy="368004"/>
        </a:xfrm>
        <a:prstGeom prst="rect">
          <a:avLst/>
        </a:prstGeom>
      </xdr:spPr>
    </xdr:pic>
    <xdr:clientData/>
  </xdr:twoCellAnchor>
  <xdr:twoCellAnchor editAs="oneCell">
    <xdr:from>
      <xdr:col>3</xdr:col>
      <xdr:colOff>1199029</xdr:colOff>
      <xdr:row>527</xdr:row>
      <xdr:rowOff>128868</xdr:rowOff>
    </xdr:from>
    <xdr:to>
      <xdr:col>3</xdr:col>
      <xdr:colOff>1559029</xdr:colOff>
      <xdr:row>529</xdr:row>
      <xdr:rowOff>40631</xdr:rowOff>
    </xdr:to>
    <xdr:pic>
      <xdr:nvPicPr>
        <xdr:cNvPr id="52" name="Image 51">
          <a:extLst>
            <a:ext uri="{FF2B5EF4-FFF2-40B4-BE49-F238E27FC236}">
              <a16:creationId xmlns:a16="http://schemas.microsoft.com/office/drawing/2014/main" xmlns="" id="{A9192D88-E9F0-4DE8-A4BC-0EF137CBDFD9}"/>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5412441" y="76911574"/>
          <a:ext cx="360000" cy="360000"/>
        </a:xfrm>
        <a:prstGeom prst="rect">
          <a:avLst/>
        </a:prstGeom>
      </xdr:spPr>
    </xdr:pic>
    <xdr:clientData/>
  </xdr:twoCellAnchor>
  <xdr:twoCellAnchor editAs="oneCell">
    <xdr:from>
      <xdr:col>3</xdr:col>
      <xdr:colOff>1171015</xdr:colOff>
      <xdr:row>614</xdr:row>
      <xdr:rowOff>123263</xdr:rowOff>
    </xdr:from>
    <xdr:to>
      <xdr:col>3</xdr:col>
      <xdr:colOff>1531015</xdr:colOff>
      <xdr:row>616</xdr:row>
      <xdr:rowOff>47031</xdr:rowOff>
    </xdr:to>
    <xdr:pic>
      <xdr:nvPicPr>
        <xdr:cNvPr id="53" name="Image 52">
          <a:extLst>
            <a:ext uri="{FF2B5EF4-FFF2-40B4-BE49-F238E27FC236}">
              <a16:creationId xmlns:a16="http://schemas.microsoft.com/office/drawing/2014/main" xmlns="" id="{68DBBA55-AFE0-47B3-938E-3864937BB4AD}"/>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5384427" y="97429543"/>
          <a:ext cx="360000" cy="372003"/>
        </a:xfrm>
        <a:prstGeom prst="rect">
          <a:avLst/>
        </a:prstGeom>
      </xdr:spPr>
    </xdr:pic>
    <xdr:clientData/>
  </xdr:twoCellAnchor>
  <xdr:twoCellAnchor editAs="oneCell">
    <xdr:from>
      <xdr:col>3</xdr:col>
      <xdr:colOff>1054155</xdr:colOff>
      <xdr:row>691</xdr:row>
      <xdr:rowOff>123265</xdr:rowOff>
    </xdr:from>
    <xdr:to>
      <xdr:col>3</xdr:col>
      <xdr:colOff>1414155</xdr:colOff>
      <xdr:row>692</xdr:row>
      <xdr:rowOff>110269</xdr:rowOff>
    </xdr:to>
    <xdr:pic>
      <xdr:nvPicPr>
        <xdr:cNvPr id="54" name="Image 53">
          <a:extLst>
            <a:ext uri="{FF2B5EF4-FFF2-40B4-BE49-F238E27FC236}">
              <a16:creationId xmlns:a16="http://schemas.microsoft.com/office/drawing/2014/main" xmlns="" id="{302BC5A9-F489-44BC-AC83-9857B05B0A86}"/>
            </a:ext>
          </a:extLst>
        </xdr:cNvPr>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5267567" y="108456133"/>
          <a:ext cx="360000" cy="368004"/>
        </a:xfrm>
        <a:prstGeom prst="rect">
          <a:avLst/>
        </a:prstGeom>
      </xdr:spPr>
    </xdr:pic>
    <xdr:clientData/>
  </xdr:twoCellAnchor>
  <xdr:twoCellAnchor editAs="oneCell">
    <xdr:from>
      <xdr:col>3</xdr:col>
      <xdr:colOff>1098176</xdr:colOff>
      <xdr:row>710</xdr:row>
      <xdr:rowOff>98854</xdr:rowOff>
    </xdr:from>
    <xdr:to>
      <xdr:col>3</xdr:col>
      <xdr:colOff>1458176</xdr:colOff>
      <xdr:row>711</xdr:row>
      <xdr:rowOff>130681</xdr:rowOff>
    </xdr:to>
    <xdr:pic>
      <xdr:nvPicPr>
        <xdr:cNvPr id="55" name="Image 54">
          <a:extLst>
            <a:ext uri="{FF2B5EF4-FFF2-40B4-BE49-F238E27FC236}">
              <a16:creationId xmlns:a16="http://schemas.microsoft.com/office/drawing/2014/main" xmlns="" id="{EA0E619E-E3D7-48DD-AB72-1B6413A7CB57}"/>
            </a:ext>
          </a:extLst>
        </xdr:cNvPr>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5311588" y="111799089"/>
          <a:ext cx="360000" cy="368004"/>
        </a:xfrm>
        <a:prstGeom prst="rect">
          <a:avLst/>
        </a:prstGeom>
      </xdr:spPr>
    </xdr:pic>
    <xdr:clientData/>
  </xdr:twoCellAnchor>
  <xdr:twoCellAnchor editAs="oneCell">
    <xdr:from>
      <xdr:col>3</xdr:col>
      <xdr:colOff>1042148</xdr:colOff>
      <xdr:row>727</xdr:row>
      <xdr:rowOff>84045</xdr:rowOff>
    </xdr:from>
    <xdr:to>
      <xdr:col>3</xdr:col>
      <xdr:colOff>1402148</xdr:colOff>
      <xdr:row>728</xdr:row>
      <xdr:rowOff>124678</xdr:rowOff>
    </xdr:to>
    <xdr:pic>
      <xdr:nvPicPr>
        <xdr:cNvPr id="5" name="Image 4">
          <a:extLst>
            <a:ext uri="{FF2B5EF4-FFF2-40B4-BE49-F238E27FC236}">
              <a16:creationId xmlns:a16="http://schemas.microsoft.com/office/drawing/2014/main" xmlns="" id="{3C349954-3AE3-4836-9BBC-64540FD39597}"/>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5255560" y="114748237"/>
          <a:ext cx="360000" cy="360000"/>
        </a:xfrm>
        <a:prstGeom prst="rect">
          <a:avLst/>
        </a:prstGeom>
      </xdr:spPr>
    </xdr:pic>
    <xdr:clientData/>
  </xdr:twoCellAnchor>
  <xdr:twoCellAnchor editAs="oneCell">
    <xdr:from>
      <xdr:col>3</xdr:col>
      <xdr:colOff>1148603</xdr:colOff>
      <xdr:row>633</xdr:row>
      <xdr:rowOff>5603</xdr:rowOff>
    </xdr:from>
    <xdr:to>
      <xdr:col>3</xdr:col>
      <xdr:colOff>1508603</xdr:colOff>
      <xdr:row>635</xdr:row>
      <xdr:rowOff>74250</xdr:rowOff>
    </xdr:to>
    <xdr:pic>
      <xdr:nvPicPr>
        <xdr:cNvPr id="4" name="Image 3">
          <a:extLst>
            <a:ext uri="{FF2B5EF4-FFF2-40B4-BE49-F238E27FC236}">
              <a16:creationId xmlns:a16="http://schemas.microsoft.com/office/drawing/2014/main" xmlns="" id="{DBAFA99F-A06B-4E13-AE16-3C3D5248C653}"/>
            </a:ext>
          </a:extLst>
        </xdr:cNvPr>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5362015" y="100236618"/>
          <a:ext cx="360000"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6350</xdr:colOff>
      <xdr:row>5</xdr:row>
      <xdr:rowOff>76200</xdr:rowOff>
    </xdr:from>
    <xdr:to>
      <xdr:col>5</xdr:col>
      <xdr:colOff>698500</xdr:colOff>
      <xdr:row>7</xdr:row>
      <xdr:rowOff>63500</xdr:rowOff>
    </xdr:to>
    <xdr:sp macro="" textlink="">
      <xdr:nvSpPr>
        <xdr:cNvPr id="10048254" name="Line 3">
          <a:extLst>
            <a:ext uri="{FF2B5EF4-FFF2-40B4-BE49-F238E27FC236}">
              <a16:creationId xmlns:a16="http://schemas.microsoft.com/office/drawing/2014/main" xmlns="" id="{E6B30264-60EF-4CD6-ADEC-49DEC6511531}"/>
            </a:ext>
          </a:extLst>
        </xdr:cNvPr>
        <xdr:cNvSpPr>
          <a:spLocks noChangeShapeType="1"/>
        </xdr:cNvSpPr>
      </xdr:nvSpPr>
      <xdr:spPr bwMode="auto">
        <a:xfrm>
          <a:off x="4121150" y="812800"/>
          <a:ext cx="692150" cy="279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69850</xdr:rowOff>
    </xdr:from>
    <xdr:to>
      <xdr:col>5</xdr:col>
      <xdr:colOff>698500</xdr:colOff>
      <xdr:row>10</xdr:row>
      <xdr:rowOff>152400</xdr:rowOff>
    </xdr:to>
    <xdr:sp macro="" textlink="">
      <xdr:nvSpPr>
        <xdr:cNvPr id="10048255" name="Line 4">
          <a:extLst>
            <a:ext uri="{FF2B5EF4-FFF2-40B4-BE49-F238E27FC236}">
              <a16:creationId xmlns:a16="http://schemas.microsoft.com/office/drawing/2014/main" xmlns="" id="{4D83CB66-5E7A-4F5C-8289-7E2A074F4695}"/>
            </a:ext>
          </a:extLst>
        </xdr:cNvPr>
        <xdr:cNvSpPr>
          <a:spLocks noChangeShapeType="1"/>
        </xdr:cNvSpPr>
      </xdr:nvSpPr>
      <xdr:spPr bwMode="auto">
        <a:xfrm flipV="1">
          <a:off x="4114800" y="1244600"/>
          <a:ext cx="698500" cy="387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9</xdr:row>
      <xdr:rowOff>69850</xdr:rowOff>
    </xdr:from>
    <xdr:to>
      <xdr:col>5</xdr:col>
      <xdr:colOff>698500</xdr:colOff>
      <xdr:row>16</xdr:row>
      <xdr:rowOff>76200</xdr:rowOff>
    </xdr:to>
    <xdr:sp macro="" textlink="">
      <xdr:nvSpPr>
        <xdr:cNvPr id="10048256" name="Line 5">
          <a:extLst>
            <a:ext uri="{FF2B5EF4-FFF2-40B4-BE49-F238E27FC236}">
              <a16:creationId xmlns:a16="http://schemas.microsoft.com/office/drawing/2014/main" xmlns="" id="{33E3E2CD-9127-46F1-88D9-8FEC1D3E5D72}"/>
            </a:ext>
          </a:extLst>
        </xdr:cNvPr>
        <xdr:cNvSpPr>
          <a:spLocks noChangeShapeType="1"/>
        </xdr:cNvSpPr>
      </xdr:nvSpPr>
      <xdr:spPr bwMode="auto">
        <a:xfrm flipV="1">
          <a:off x="4114800" y="1397000"/>
          <a:ext cx="698500" cy="1073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152400</xdr:rowOff>
    </xdr:from>
    <xdr:to>
      <xdr:col>5</xdr:col>
      <xdr:colOff>698500</xdr:colOff>
      <xdr:row>22</xdr:row>
      <xdr:rowOff>76200</xdr:rowOff>
    </xdr:to>
    <xdr:sp macro="" textlink="">
      <xdr:nvSpPr>
        <xdr:cNvPr id="10048257" name="Line 6">
          <a:extLst>
            <a:ext uri="{FF2B5EF4-FFF2-40B4-BE49-F238E27FC236}">
              <a16:creationId xmlns:a16="http://schemas.microsoft.com/office/drawing/2014/main" xmlns="" id="{60D6EC33-DE60-4D13-8EF2-8ED5A6C9DE16}"/>
            </a:ext>
          </a:extLst>
        </xdr:cNvPr>
        <xdr:cNvSpPr>
          <a:spLocks noChangeShapeType="1"/>
        </xdr:cNvSpPr>
      </xdr:nvSpPr>
      <xdr:spPr bwMode="auto">
        <a:xfrm flipV="1">
          <a:off x="4114800" y="1631950"/>
          <a:ext cx="698500" cy="172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6350</xdr:colOff>
      <xdr:row>11</xdr:row>
      <xdr:rowOff>76200</xdr:rowOff>
    </xdr:from>
    <xdr:to>
      <xdr:col>5</xdr:col>
      <xdr:colOff>685800</xdr:colOff>
      <xdr:row>30</xdr:row>
      <xdr:rowOff>76200</xdr:rowOff>
    </xdr:to>
    <xdr:sp macro="" textlink="">
      <xdr:nvSpPr>
        <xdr:cNvPr id="10048258" name="Line 7">
          <a:extLst>
            <a:ext uri="{FF2B5EF4-FFF2-40B4-BE49-F238E27FC236}">
              <a16:creationId xmlns:a16="http://schemas.microsoft.com/office/drawing/2014/main" xmlns="" id="{2990EB05-0465-4BC3-AF46-0FF75E2632F2}"/>
            </a:ext>
          </a:extLst>
        </xdr:cNvPr>
        <xdr:cNvSpPr>
          <a:spLocks noChangeShapeType="1"/>
        </xdr:cNvSpPr>
      </xdr:nvSpPr>
      <xdr:spPr bwMode="auto">
        <a:xfrm flipV="1">
          <a:off x="4121150" y="1708150"/>
          <a:ext cx="679450" cy="2832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6350</xdr:colOff>
      <xdr:row>12</xdr:row>
      <xdr:rowOff>57150</xdr:rowOff>
    </xdr:from>
    <xdr:to>
      <xdr:col>6</xdr:col>
      <xdr:colOff>0</xdr:colOff>
      <xdr:row>35</xdr:row>
      <xdr:rowOff>63500</xdr:rowOff>
    </xdr:to>
    <xdr:sp macro="" textlink="">
      <xdr:nvSpPr>
        <xdr:cNvPr id="10048259" name="Line 8">
          <a:extLst>
            <a:ext uri="{FF2B5EF4-FFF2-40B4-BE49-F238E27FC236}">
              <a16:creationId xmlns:a16="http://schemas.microsoft.com/office/drawing/2014/main" xmlns="" id="{47BB62F5-A022-44F3-95FB-F51E9B91AB44}"/>
            </a:ext>
          </a:extLst>
        </xdr:cNvPr>
        <xdr:cNvSpPr>
          <a:spLocks noChangeShapeType="1"/>
        </xdr:cNvSpPr>
      </xdr:nvSpPr>
      <xdr:spPr bwMode="auto">
        <a:xfrm flipV="1">
          <a:off x="4121150" y="1835150"/>
          <a:ext cx="698500" cy="3435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13</xdr:row>
      <xdr:rowOff>76200</xdr:rowOff>
    </xdr:from>
    <xdr:to>
      <xdr:col>5</xdr:col>
      <xdr:colOff>698500</xdr:colOff>
      <xdr:row>39</xdr:row>
      <xdr:rowOff>76200</xdr:rowOff>
    </xdr:to>
    <xdr:sp macro="" textlink="">
      <xdr:nvSpPr>
        <xdr:cNvPr id="10048260" name="Line 9">
          <a:extLst>
            <a:ext uri="{FF2B5EF4-FFF2-40B4-BE49-F238E27FC236}">
              <a16:creationId xmlns:a16="http://schemas.microsoft.com/office/drawing/2014/main" xmlns="" id="{411EB3D4-9214-414C-8802-7E260329F547}"/>
            </a:ext>
          </a:extLst>
        </xdr:cNvPr>
        <xdr:cNvSpPr>
          <a:spLocks noChangeShapeType="1"/>
        </xdr:cNvSpPr>
      </xdr:nvSpPr>
      <xdr:spPr bwMode="auto">
        <a:xfrm flipV="1">
          <a:off x="4114800" y="2000250"/>
          <a:ext cx="698500" cy="3879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38099</xdr:colOff>
      <xdr:row>16</xdr:row>
      <xdr:rowOff>19051</xdr:rowOff>
    </xdr:from>
    <xdr:to>
      <xdr:col>15</xdr:col>
      <xdr:colOff>692150</xdr:colOff>
      <xdr:row>41</xdr:row>
      <xdr:rowOff>0</xdr:rowOff>
    </xdr:to>
    <xdr:graphicFrame macro="">
      <xdr:nvGraphicFramePr>
        <xdr:cNvPr id="10048261" name="Chart 92">
          <a:extLst>
            <a:ext uri="{FF2B5EF4-FFF2-40B4-BE49-F238E27FC236}">
              <a16:creationId xmlns:a16="http://schemas.microsoft.com/office/drawing/2014/main" xmlns="" id="{70BD393D-86E4-433B-9238-AD10783443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38101</xdr:colOff>
      <xdr:row>42</xdr:row>
      <xdr:rowOff>57151</xdr:rowOff>
    </xdr:from>
    <xdr:to>
      <xdr:col>15</xdr:col>
      <xdr:colOff>690563</xdr:colOff>
      <xdr:row>66</xdr:row>
      <xdr:rowOff>109089</xdr:rowOff>
    </xdr:to>
    <xdr:graphicFrame macro="">
      <xdr:nvGraphicFramePr>
        <xdr:cNvPr id="10048262" name="Chart 94">
          <a:extLst>
            <a:ext uri="{FF2B5EF4-FFF2-40B4-BE49-F238E27FC236}">
              <a16:creationId xmlns:a16="http://schemas.microsoft.com/office/drawing/2014/main" xmlns="" id="{511C8DEA-40E5-437E-84DD-CDD8ECE0B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61914</xdr:colOff>
      <xdr:row>0</xdr:row>
      <xdr:rowOff>23812</xdr:rowOff>
    </xdr:from>
    <xdr:to>
      <xdr:col>1</xdr:col>
      <xdr:colOff>52995</xdr:colOff>
      <xdr:row>2</xdr:row>
      <xdr:rowOff>171449</xdr:rowOff>
    </xdr:to>
    <xdr:pic>
      <xdr:nvPicPr>
        <xdr:cNvPr id="12" name="Image 11">
          <a:extLst>
            <a:ext uri="{FF2B5EF4-FFF2-40B4-BE49-F238E27FC236}">
              <a16:creationId xmlns:a16="http://schemas.microsoft.com/office/drawing/2014/main" xmlns="" id="{EC978147-B80D-49E9-9B66-8C1F4AFCAC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914" y="23812"/>
          <a:ext cx="672119" cy="666750"/>
        </a:xfrm>
        <a:prstGeom prst="rect">
          <a:avLst/>
        </a:prstGeom>
      </xdr:spPr>
    </xdr:pic>
    <xdr:clientData/>
  </xdr:twoCellAnchor>
  <xdr:twoCellAnchor editAs="oneCell">
    <xdr:from>
      <xdr:col>0</xdr:col>
      <xdr:colOff>221876</xdr:colOff>
      <xdr:row>5</xdr:row>
      <xdr:rowOff>114300</xdr:rowOff>
    </xdr:from>
    <xdr:to>
      <xdr:col>0</xdr:col>
      <xdr:colOff>587441</xdr:colOff>
      <xdr:row>8</xdr:row>
      <xdr:rowOff>32190</xdr:rowOff>
    </xdr:to>
    <xdr:pic>
      <xdr:nvPicPr>
        <xdr:cNvPr id="13" name="Image 12">
          <a:extLst>
            <a:ext uri="{FF2B5EF4-FFF2-40B4-BE49-F238E27FC236}">
              <a16:creationId xmlns:a16="http://schemas.microsoft.com/office/drawing/2014/main" xmlns="" id="{56705FAD-6C5F-494F-9E07-AED3F6E2AF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1876" y="1219200"/>
          <a:ext cx="365565" cy="365565"/>
        </a:xfrm>
        <a:prstGeom prst="rect">
          <a:avLst/>
        </a:prstGeom>
      </xdr:spPr>
    </xdr:pic>
    <xdr:clientData/>
  </xdr:twoCellAnchor>
  <xdr:twoCellAnchor editAs="oneCell">
    <xdr:from>
      <xdr:col>0</xdr:col>
      <xdr:colOff>200024</xdr:colOff>
      <xdr:row>11</xdr:row>
      <xdr:rowOff>63312</xdr:rowOff>
    </xdr:from>
    <xdr:to>
      <xdr:col>0</xdr:col>
      <xdr:colOff>560024</xdr:colOff>
      <xdr:row>13</xdr:row>
      <xdr:rowOff>128039</xdr:rowOff>
    </xdr:to>
    <xdr:pic>
      <xdr:nvPicPr>
        <xdr:cNvPr id="14" name="Image 13">
          <a:extLst>
            <a:ext uri="{FF2B5EF4-FFF2-40B4-BE49-F238E27FC236}">
              <a16:creationId xmlns:a16="http://schemas.microsoft.com/office/drawing/2014/main" xmlns="" id="{5BF05A29-3984-4393-8A19-0DB7E5A75AA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0024" y="2073087"/>
          <a:ext cx="360000" cy="360002"/>
        </a:xfrm>
        <a:prstGeom prst="rect">
          <a:avLst/>
        </a:prstGeom>
      </xdr:spPr>
    </xdr:pic>
    <xdr:clientData/>
  </xdr:twoCellAnchor>
  <xdr:twoCellAnchor editAs="oneCell">
    <xdr:from>
      <xdr:col>0</xdr:col>
      <xdr:colOff>180975</xdr:colOff>
      <xdr:row>17</xdr:row>
      <xdr:rowOff>63033</xdr:rowOff>
    </xdr:from>
    <xdr:to>
      <xdr:col>0</xdr:col>
      <xdr:colOff>540975</xdr:colOff>
      <xdr:row>19</xdr:row>
      <xdr:rowOff>122997</xdr:rowOff>
    </xdr:to>
    <xdr:pic>
      <xdr:nvPicPr>
        <xdr:cNvPr id="15" name="Image 14">
          <a:extLst>
            <a:ext uri="{FF2B5EF4-FFF2-40B4-BE49-F238E27FC236}">
              <a16:creationId xmlns:a16="http://schemas.microsoft.com/office/drawing/2014/main" xmlns="" id="{C21AE2F4-CCD8-4AB3-9C01-A5373FAC4FB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0975" y="2987208"/>
          <a:ext cx="360000" cy="355239"/>
        </a:xfrm>
        <a:prstGeom prst="rect">
          <a:avLst/>
        </a:prstGeom>
      </xdr:spPr>
    </xdr:pic>
    <xdr:clientData/>
  </xdr:twoCellAnchor>
  <xdr:twoCellAnchor editAs="oneCell">
    <xdr:from>
      <xdr:col>0</xdr:col>
      <xdr:colOff>221876</xdr:colOff>
      <xdr:row>23</xdr:row>
      <xdr:rowOff>132507</xdr:rowOff>
    </xdr:from>
    <xdr:to>
      <xdr:col>0</xdr:col>
      <xdr:colOff>581876</xdr:colOff>
      <xdr:row>26</xdr:row>
      <xdr:rowOff>63882</xdr:rowOff>
    </xdr:to>
    <xdr:pic>
      <xdr:nvPicPr>
        <xdr:cNvPr id="16" name="Image 15">
          <a:extLst>
            <a:ext uri="{FF2B5EF4-FFF2-40B4-BE49-F238E27FC236}">
              <a16:creationId xmlns:a16="http://schemas.microsoft.com/office/drawing/2014/main" xmlns="" id="{7F3CF219-C51B-4991-BE99-BDD1564FE31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1876" y="3952032"/>
          <a:ext cx="360000" cy="374288"/>
        </a:xfrm>
        <a:prstGeom prst="rect">
          <a:avLst/>
        </a:prstGeom>
      </xdr:spPr>
    </xdr:pic>
    <xdr:clientData/>
  </xdr:twoCellAnchor>
  <xdr:twoCellAnchor editAs="oneCell">
    <xdr:from>
      <xdr:col>0</xdr:col>
      <xdr:colOff>199384</xdr:colOff>
      <xdr:row>30</xdr:row>
      <xdr:rowOff>76880</xdr:rowOff>
    </xdr:from>
    <xdr:to>
      <xdr:col>0</xdr:col>
      <xdr:colOff>559384</xdr:colOff>
      <xdr:row>32</xdr:row>
      <xdr:rowOff>146369</xdr:rowOff>
    </xdr:to>
    <xdr:pic>
      <xdr:nvPicPr>
        <xdr:cNvPr id="17" name="Image 16">
          <a:extLst>
            <a:ext uri="{FF2B5EF4-FFF2-40B4-BE49-F238E27FC236}">
              <a16:creationId xmlns:a16="http://schemas.microsoft.com/office/drawing/2014/main" xmlns="" id="{C0E28EDE-F368-4FA5-B68A-DE7000A37BF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99384" y="4939393"/>
          <a:ext cx="360000" cy="364764"/>
        </a:xfrm>
        <a:prstGeom prst="rect">
          <a:avLst/>
        </a:prstGeom>
      </xdr:spPr>
    </xdr:pic>
    <xdr:clientData/>
  </xdr:twoCellAnchor>
  <xdr:twoCellAnchor editAs="oneCell">
    <xdr:from>
      <xdr:col>0</xdr:col>
      <xdr:colOff>185737</xdr:colOff>
      <xdr:row>34</xdr:row>
      <xdr:rowOff>96093</xdr:rowOff>
    </xdr:from>
    <xdr:to>
      <xdr:col>0</xdr:col>
      <xdr:colOff>545737</xdr:colOff>
      <xdr:row>37</xdr:row>
      <xdr:rowOff>13179</xdr:rowOff>
    </xdr:to>
    <xdr:pic>
      <xdr:nvPicPr>
        <xdr:cNvPr id="18" name="Image 17">
          <a:extLst>
            <a:ext uri="{FF2B5EF4-FFF2-40B4-BE49-F238E27FC236}">
              <a16:creationId xmlns:a16="http://schemas.microsoft.com/office/drawing/2014/main" xmlns="" id="{1480841D-0A93-45B9-A494-B00080B86D3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5737" y="5553918"/>
          <a:ext cx="360000" cy="364761"/>
        </a:xfrm>
        <a:prstGeom prst="rect">
          <a:avLst/>
        </a:prstGeom>
      </xdr:spPr>
    </xdr:pic>
    <xdr:clientData/>
  </xdr:twoCellAnchor>
  <xdr:twoCellAnchor editAs="oneCell">
    <xdr:from>
      <xdr:col>0</xdr:col>
      <xdr:colOff>211870</xdr:colOff>
      <xdr:row>39</xdr:row>
      <xdr:rowOff>97490</xdr:rowOff>
    </xdr:from>
    <xdr:to>
      <xdr:col>0</xdr:col>
      <xdr:colOff>571870</xdr:colOff>
      <xdr:row>42</xdr:row>
      <xdr:rowOff>24102</xdr:rowOff>
    </xdr:to>
    <xdr:pic>
      <xdr:nvPicPr>
        <xdr:cNvPr id="19" name="Image 18">
          <a:extLst>
            <a:ext uri="{FF2B5EF4-FFF2-40B4-BE49-F238E27FC236}">
              <a16:creationId xmlns:a16="http://schemas.microsoft.com/office/drawing/2014/main" xmlns="" id="{3DD271A3-4496-49E5-AEC2-0A4DEA66DD7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11870" y="6307790"/>
          <a:ext cx="360000" cy="369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158750</xdr:colOff>
      <xdr:row>2</xdr:row>
      <xdr:rowOff>38100</xdr:rowOff>
    </xdr:from>
    <xdr:to>
      <xdr:col>10</xdr:col>
      <xdr:colOff>38100</xdr:colOff>
      <xdr:row>2</xdr:row>
      <xdr:rowOff>38100</xdr:rowOff>
    </xdr:to>
    <xdr:sp macro="" textlink="">
      <xdr:nvSpPr>
        <xdr:cNvPr id="66726" name="Line 71">
          <a:extLst>
            <a:ext uri="{FF2B5EF4-FFF2-40B4-BE49-F238E27FC236}">
              <a16:creationId xmlns:a16="http://schemas.microsoft.com/office/drawing/2014/main" xmlns="" id="{24F0FC89-0935-4382-995C-54725562746B}"/>
            </a:ext>
          </a:extLst>
        </xdr:cNvPr>
        <xdr:cNvSpPr>
          <a:spLocks noChangeShapeType="1"/>
        </xdr:cNvSpPr>
      </xdr:nvSpPr>
      <xdr:spPr bwMode="auto">
        <a:xfrm>
          <a:off x="158750" y="485775"/>
          <a:ext cx="108807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387350</xdr:colOff>
      <xdr:row>26</xdr:row>
      <xdr:rowOff>38100</xdr:rowOff>
    </xdr:from>
    <xdr:to>
      <xdr:col>10</xdr:col>
      <xdr:colOff>38100</xdr:colOff>
      <xdr:row>26</xdr:row>
      <xdr:rowOff>38100</xdr:rowOff>
    </xdr:to>
    <xdr:sp macro="" textlink="">
      <xdr:nvSpPr>
        <xdr:cNvPr id="3" name="Line 71">
          <a:extLst>
            <a:ext uri="{FF2B5EF4-FFF2-40B4-BE49-F238E27FC236}">
              <a16:creationId xmlns:a16="http://schemas.microsoft.com/office/drawing/2014/main" xmlns="" id="{B2B8D52E-1F5D-418C-A43E-13666E360407}"/>
            </a:ext>
          </a:extLst>
        </xdr:cNvPr>
        <xdr:cNvSpPr>
          <a:spLocks noChangeShapeType="1"/>
        </xdr:cNvSpPr>
      </xdr:nvSpPr>
      <xdr:spPr bwMode="auto">
        <a:xfrm>
          <a:off x="368300" y="485775"/>
          <a:ext cx="902335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43</xdr:row>
      <xdr:rowOff>1</xdr:rowOff>
    </xdr:from>
    <xdr:to>
      <xdr:col>6</xdr:col>
      <xdr:colOff>161925</xdr:colOff>
      <xdr:row>51</xdr:row>
      <xdr:rowOff>1</xdr:rowOff>
    </xdr:to>
    <xdr:sp macro="" textlink="">
      <xdr:nvSpPr>
        <xdr:cNvPr id="4" name="ZoneTexte 3">
          <a:extLst>
            <a:ext uri="{FF2B5EF4-FFF2-40B4-BE49-F238E27FC236}">
              <a16:creationId xmlns:a16="http://schemas.microsoft.com/office/drawing/2014/main" xmlns="" id="{CDDC4CD5-5D24-4883-A21E-E773818D4D68}"/>
            </a:ext>
          </a:extLst>
        </xdr:cNvPr>
        <xdr:cNvSpPr txBox="1"/>
      </xdr:nvSpPr>
      <xdr:spPr>
        <a:xfrm>
          <a:off x="390525" y="3343276"/>
          <a:ext cx="60769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D'ici 2020, tous les fluides frigorigènes ayant</a:t>
          </a:r>
          <a:r>
            <a:rPr lang="fr-FR" sz="1100" baseline="0"/>
            <a:t> un facteur d'émission </a:t>
          </a:r>
          <a:r>
            <a:rPr lang="fr-FR" sz="1100" b="1" baseline="0"/>
            <a:t>supérieur à 2500 kg.eq.CO2</a:t>
          </a:r>
          <a:r>
            <a:rPr lang="fr-FR" sz="1100" baseline="0"/>
            <a:t> seront interdit à la vente en Europe.</a:t>
          </a:r>
        </a:p>
        <a:p>
          <a:endParaRPr lang="fr-FR" sz="1100" baseline="0"/>
        </a:p>
        <a:p>
          <a:r>
            <a:rPr lang="fr-FR" sz="1100" baseline="0"/>
            <a:t>Source : réglementation F-gas</a:t>
          </a:r>
        </a:p>
        <a:p>
          <a:endParaRPr lang="fr-FR" sz="1100" baseline="0"/>
        </a:p>
        <a:p>
          <a:r>
            <a:rPr lang="fr-FR" sz="1100" baseline="0"/>
            <a:t>Commentaire : ajouter aussi le "froid commercial" ? Pour les équipements du restaurant universitaire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me.intra\Angers$\DOCUME~1\ADMINP~1\LOCALS~1\Temp\_PA267\historique%20tableur\BC2805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e.intra\Angers$\SERVICES\DAE\gourdont\Bilan%20Carbone%20-%20SP\LOGICIELS\V5\V5-DEF\BC_patrimoine_services_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igiplace-my.sharepoint.com/DOCUME~1/GUEUSS~1/LOCALS~1/Temp/notes2EE0ED/BC%20Campus%20version%20proviso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sheetName val="Enseignement"/>
      <sheetName val="Elèves"/>
      <sheetName val="Stages"/>
      <sheetName val="Vie culturelle"/>
      <sheetName val="Restauration"/>
      <sheetName val="Sport"/>
      <sheetName val="Espaces verts,Entretien"/>
      <sheetName val="ordre de grandeur recherche"/>
      <sheetName val="Recherche"/>
      <sheetName val="Service XXX"/>
      <sheetName val="Service YYY"/>
      <sheetName val="Récap"/>
      <sheetName val="plan action"/>
      <sheetName val="Extractions"/>
      <sheetName val="Facteurs d'émis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52">
          <cell r="A452" t="str">
            <v>Train en France, moyenne</v>
          </cell>
        </row>
        <row r="453">
          <cell r="A453" t="str">
            <v>TGV</v>
          </cell>
        </row>
        <row r="454">
          <cell r="A454" t="str">
            <v>Corail …</v>
          </cell>
        </row>
        <row r="455">
          <cell r="A455" t="str">
            <v>TER</v>
          </cell>
        </row>
        <row r="456">
          <cell r="A456" t="str">
            <v>RER, métro</v>
          </cell>
        </row>
        <row r="457">
          <cell r="A457" t="str">
            <v>Autre train</v>
          </cell>
        </row>
        <row r="458">
          <cell r="A458" t="str">
            <v>Train en Allemagne</v>
          </cell>
        </row>
        <row r="459">
          <cell r="A459" t="str">
            <v>Train en Autriche</v>
          </cell>
        </row>
        <row r="460">
          <cell r="A460" t="str">
            <v>Train en Belgique</v>
          </cell>
        </row>
        <row r="461">
          <cell r="A461" t="str">
            <v>Train au Danemark</v>
          </cell>
        </row>
        <row r="462">
          <cell r="A462" t="str">
            <v>Train en Espagne</v>
          </cell>
        </row>
        <row r="463">
          <cell r="A463" t="str">
            <v>Train en Finlande</v>
          </cell>
        </row>
        <row r="464">
          <cell r="A464" t="str">
            <v>Train en Grèce</v>
          </cell>
        </row>
        <row r="465">
          <cell r="A465" t="str">
            <v>Train en Irlande</v>
          </cell>
        </row>
        <row r="466">
          <cell r="A466" t="str">
            <v>Train en Italie</v>
          </cell>
        </row>
        <row r="467">
          <cell r="A467" t="str">
            <v>Train au Luxembourg</v>
          </cell>
        </row>
        <row r="468">
          <cell r="A468" t="str">
            <v>Train en Norvège</v>
          </cell>
        </row>
        <row r="469">
          <cell r="A469" t="str">
            <v>Train aux Pays bas</v>
          </cell>
        </row>
        <row r="470">
          <cell r="A470" t="str">
            <v>Train au Portugal</v>
          </cell>
        </row>
        <row r="471">
          <cell r="A471" t="str">
            <v>Train au Royaume Uni</v>
          </cell>
        </row>
        <row r="472">
          <cell r="A472" t="str">
            <v>Train en Suède</v>
          </cell>
        </row>
        <row r="473">
          <cell r="A473" t="str">
            <v>Train en Suisse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générale"/>
      <sheetName val="Enseignement"/>
      <sheetName val="logements"/>
      <sheetName val="Transports collectifs"/>
      <sheetName val="Eau et assainissement"/>
      <sheetName val="dechets"/>
      <sheetName val="Equipements sportifs"/>
      <sheetName val="Equipements culturels"/>
      <sheetName val="Sanitaire et social"/>
      <sheetName val="Espaces verts"/>
      <sheetName val="Voirie"/>
      <sheetName val="Service XXX"/>
      <sheetName val="service YYY"/>
      <sheetName val="Récap"/>
      <sheetName val="plan action"/>
      <sheetName val="Extractions"/>
      <sheetName val="Facteurs d'émi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37">
          <cell r="A637" t="str">
            <v>Blé, par tonne de matière sèche</v>
          </cell>
        </row>
        <row r="638">
          <cell r="A638" t="str">
            <v>Fourrages, par tonne de matières sèches</v>
          </cell>
        </row>
        <row r="639">
          <cell r="A639" t="str">
            <v>Ensilage</v>
          </cell>
        </row>
        <row r="640">
          <cell r="A640" t="str">
            <v>Farine</v>
          </cell>
        </row>
        <row r="641">
          <cell r="A641" t="str">
            <v>Pain</v>
          </cell>
        </row>
        <row r="642">
          <cell r="A642" t="str">
            <v>Maïs alimentaire</v>
          </cell>
        </row>
        <row r="643">
          <cell r="A643" t="str">
            <v>huile de tournesol</v>
          </cell>
        </row>
        <row r="644">
          <cell r="A644" t="str">
            <v>poisson (moyenne)</v>
          </cell>
        </row>
        <row r="645">
          <cell r="A645" t="str">
            <v>Thon et autres poissons tropicaux</v>
          </cell>
        </row>
        <row r="646">
          <cell r="A646" t="str">
            <v>Crevettes pêchées</v>
          </cell>
        </row>
        <row r="647">
          <cell r="A647" t="str">
            <v>Agneau/Mouton</v>
          </cell>
        </row>
        <row r="648">
          <cell r="A648" t="str">
            <v>Cochon</v>
          </cell>
        </row>
        <row r="649">
          <cell r="A649" t="str">
            <v>Bœuf</v>
          </cell>
        </row>
        <row r="650">
          <cell r="A650" t="str">
            <v>Veau</v>
          </cell>
        </row>
        <row r="651">
          <cell r="A651" t="str">
            <v>Lait de vache</v>
          </cell>
        </row>
        <row r="652">
          <cell r="A652" t="str">
            <v>Lait en poudre</v>
          </cell>
        </row>
        <row r="653">
          <cell r="A653" t="str">
            <v>Beurre</v>
          </cell>
        </row>
        <row r="654">
          <cell r="A654" t="str">
            <v>Fromage pâte crue</v>
          </cell>
        </row>
        <row r="655">
          <cell r="A655" t="str">
            <v>Fromage pâte cuite</v>
          </cell>
        </row>
        <row r="656">
          <cell r="A656" t="str">
            <v>Yaourts</v>
          </cell>
        </row>
        <row r="657">
          <cell r="A657" t="str">
            <v>Poulet industriel</v>
          </cell>
        </row>
        <row r="658">
          <cell r="A658" t="str">
            <v>Poulet fermier</v>
          </cell>
        </row>
        <row r="659">
          <cell r="A659" t="str">
            <v>Dinde industrielle</v>
          </cell>
        </row>
        <row r="660">
          <cell r="A660" t="str">
            <v>Dinde fermière</v>
          </cell>
        </row>
        <row r="661">
          <cell r="A661" t="str">
            <v>Canard</v>
          </cell>
        </row>
        <row r="662">
          <cell r="A662" t="str">
            <v>œufs</v>
          </cell>
        </row>
        <row r="663">
          <cell r="A663" t="str">
            <v>Sucre</v>
          </cell>
        </row>
        <row r="664">
          <cell r="A664" t="str">
            <v>Alcool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us"/>
      <sheetName val="Feuil1"/>
      <sheetName val="Plan d'actions"/>
      <sheetName val="Facteurs d'émission"/>
      <sheetName val="Administration"/>
      <sheetName val="Enseignement"/>
      <sheetName val="Elèves"/>
      <sheetName val="Stages"/>
      <sheetName val="Vie culturelle"/>
      <sheetName val="Restauration"/>
      <sheetName val="Sport"/>
      <sheetName val="Espaces verts,Entretien"/>
      <sheetName val="Recherche"/>
      <sheetName val="Service XXX"/>
      <sheetName val="Service YYY"/>
      <sheetName val="Récap"/>
    </sheetNames>
    <sheetDataSet>
      <sheetData sheetId="0" refreshError="1"/>
      <sheetData sheetId="1" refreshError="1"/>
      <sheetData sheetId="2" refreshError="1"/>
      <sheetData sheetId="3" refreshError="1">
        <row r="578">
          <cell r="A578" t="str">
            <v>Béton bitumineux</v>
          </cell>
        </row>
        <row r="579">
          <cell r="A579" t="str">
            <v>Grave bitume 3</v>
          </cell>
        </row>
        <row r="580">
          <cell r="A580" t="str">
            <v>Enrobé à module élevé</v>
          </cell>
        </row>
        <row r="581">
          <cell r="A581" t="str">
            <v>Enrobé tiède</v>
          </cell>
        </row>
        <row r="582">
          <cell r="A582" t="str">
            <v>Grave émulsion</v>
          </cell>
        </row>
        <row r="583">
          <cell r="A583" t="str">
            <v>Béton bitumineux à froid</v>
          </cell>
        </row>
        <row r="584">
          <cell r="A584" t="str">
            <v>Grave ciment</v>
          </cell>
        </row>
        <row r="585">
          <cell r="A585" t="str">
            <v>Grave ciment préfissurée</v>
          </cell>
        </row>
        <row r="586">
          <cell r="A586" t="str">
            <v>Grave liant hydraulique</v>
          </cell>
        </row>
        <row r="587">
          <cell r="A587" t="str">
            <v>Grave liant routier préfissurée</v>
          </cell>
        </row>
        <row r="588">
          <cell r="A588" t="str">
            <v>Béton de ciment (routier)</v>
          </cell>
        </row>
        <row r="589">
          <cell r="A589" t="str">
            <v>Béton armé continu (routier)</v>
          </cell>
        </row>
        <row r="590">
          <cell r="A590" t="str">
            <v>Grave non traitée</v>
          </cell>
        </row>
        <row r="591">
          <cell r="A591" t="str">
            <v>Sol traité liant routier</v>
          </cell>
        </row>
        <row r="592">
          <cell r="A592" t="str">
            <v>Recyclage en place à chaud (REC)</v>
          </cell>
        </row>
        <row r="593">
          <cell r="A593" t="str">
            <v>Béton bitumineux avec 10% REC</v>
          </cell>
        </row>
        <row r="594">
          <cell r="A594" t="str">
            <v>Béton bitumineux avec 20% REC</v>
          </cell>
        </row>
        <row r="595">
          <cell r="A595" t="str">
            <v>Béton bitumineux avec 30% REC</v>
          </cell>
        </row>
        <row r="596">
          <cell r="A596" t="str">
            <v>Béton bitumineux avec 50% REC</v>
          </cell>
        </row>
        <row r="597">
          <cell r="A597" t="str">
            <v>Recyclage en place à l'émulsion</v>
          </cell>
        </row>
        <row r="598">
          <cell r="A598" t="str">
            <v>Ciment</v>
          </cell>
        </row>
        <row r="599">
          <cell r="A599" t="str">
            <v>Pierres de carrière</v>
          </cell>
        </row>
        <row r="600">
          <cell r="A600" t="str">
            <v>Béton armé</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4.0/"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bilans-ges.ademe.fr/documentation/UPLOAD_DOC_FR/index.htm?prg.htm" TargetMode="External"/><Relationship Id="rId7" Type="http://schemas.openxmlformats.org/officeDocument/2006/relationships/vmlDrawing" Target="../drawings/vmlDrawing1.vml"/><Relationship Id="rId2" Type="http://schemas.openxmlformats.org/officeDocument/2006/relationships/hyperlink" Target="http://www.bilans-ges.ademe.fr/documentation/UPLOAD_DOC_FR/index.htm?prg.htm" TargetMode="External"/><Relationship Id="rId1" Type="http://schemas.openxmlformats.org/officeDocument/2006/relationships/hyperlink" Target="http://www.bilans-ges.ademe.fr/fr/basecarbone/donnees-consulter/choix-categori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bilans-ges.ademe.fr/documentation/UPLOAD_DOC_FR/index.htm?prg.ht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O21"/>
  <sheetViews>
    <sheetView showGridLines="0" zoomScale="110" workbookViewId="0"/>
  </sheetViews>
  <sheetFormatPr baseColWidth="10" defaultRowHeight="12"/>
  <cols>
    <col min="1" max="1" width="2.140625" customWidth="1"/>
    <col min="2" max="2" width="2.7109375" customWidth="1"/>
    <col min="3" max="3" width="10.85546875" customWidth="1"/>
    <col min="4" max="8" width="11" customWidth="1"/>
    <col min="14" max="14" width="3.42578125" customWidth="1"/>
    <col min="15" max="15" width="2.42578125" customWidth="1"/>
  </cols>
  <sheetData>
    <row r="1" spans="2:15" ht="31.5" customHeight="1">
      <c r="B1" s="208"/>
      <c r="C1" s="208"/>
      <c r="D1" s="208"/>
      <c r="E1" s="208"/>
      <c r="F1" s="208"/>
      <c r="G1" s="208"/>
      <c r="H1" s="208"/>
      <c r="I1" s="208"/>
      <c r="J1" s="208"/>
      <c r="K1" s="208"/>
      <c r="L1" s="208"/>
      <c r="M1" s="208"/>
      <c r="N1" s="208"/>
      <c r="O1" s="208"/>
    </row>
    <row r="2" spans="2:15" ht="32.25" customHeight="1">
      <c r="B2" s="285"/>
      <c r="C2" s="285"/>
      <c r="D2" s="285"/>
      <c r="E2" s="285" t="s">
        <v>273</v>
      </c>
      <c r="F2" s="285"/>
      <c r="G2" s="285"/>
      <c r="H2" s="285"/>
      <c r="I2" s="285"/>
      <c r="J2" s="285"/>
      <c r="K2" s="285"/>
      <c r="L2" s="285"/>
      <c r="M2" s="285"/>
      <c r="N2" s="285"/>
      <c r="O2" s="285"/>
    </row>
    <row r="3" spans="2:15" ht="14.25" customHeight="1">
      <c r="B3" s="208"/>
      <c r="C3" s="208"/>
      <c r="D3" s="208"/>
      <c r="E3" s="208"/>
      <c r="F3" s="208"/>
      <c r="G3" s="208"/>
      <c r="H3" s="208"/>
      <c r="I3" s="208"/>
      <c r="J3" s="208"/>
      <c r="K3" s="208"/>
      <c r="L3" s="208"/>
      <c r="M3" s="208"/>
      <c r="N3" s="208"/>
      <c r="O3" s="208"/>
    </row>
    <row r="4" spans="2:15" ht="8.25" customHeight="1">
      <c r="B4" s="210"/>
      <c r="C4" s="211"/>
      <c r="D4" s="211"/>
      <c r="E4" s="211"/>
      <c r="F4" s="211"/>
      <c r="G4" s="211"/>
      <c r="H4" s="211"/>
      <c r="I4" s="211"/>
      <c r="J4" s="211"/>
      <c r="K4" s="211"/>
      <c r="L4" s="211"/>
      <c r="M4" s="211"/>
      <c r="N4" s="212"/>
      <c r="O4" s="208"/>
    </row>
    <row r="5" spans="2:15" ht="15.75">
      <c r="B5" s="213"/>
      <c r="C5" s="214" t="s">
        <v>274</v>
      </c>
      <c r="D5" s="215"/>
      <c r="E5" s="215"/>
      <c r="F5" s="215"/>
      <c r="G5" s="215"/>
      <c r="H5" s="215"/>
      <c r="I5" s="215"/>
      <c r="J5" s="215"/>
      <c r="K5" s="215"/>
      <c r="L5" s="215"/>
      <c r="M5" s="215"/>
      <c r="N5" s="216"/>
      <c r="O5" s="208"/>
    </row>
    <row r="6" spans="2:15" ht="147" customHeight="1">
      <c r="B6" s="213"/>
      <c r="C6" s="603" t="s">
        <v>310</v>
      </c>
      <c r="D6" s="603"/>
      <c r="E6" s="603"/>
      <c r="F6" s="603"/>
      <c r="G6" s="603"/>
      <c r="H6" s="603"/>
      <c r="I6" s="603"/>
      <c r="J6" s="603"/>
      <c r="K6" s="603"/>
      <c r="L6" s="603"/>
      <c r="M6" s="603"/>
      <c r="N6" s="216"/>
      <c r="O6" s="208"/>
    </row>
    <row r="7" spans="2:15" ht="9" customHeight="1">
      <c r="B7" s="217"/>
      <c r="C7" s="218"/>
      <c r="D7" s="218"/>
      <c r="E7" s="218"/>
      <c r="F7" s="218"/>
      <c r="G7" s="218"/>
      <c r="H7" s="218"/>
      <c r="I7" s="218"/>
      <c r="J7" s="218"/>
      <c r="K7" s="218"/>
      <c r="L7" s="218"/>
      <c r="M7" s="218"/>
      <c r="N7" s="219"/>
      <c r="O7" s="208"/>
    </row>
    <row r="8" spans="2:15" ht="14.25" customHeight="1">
      <c r="B8" s="209"/>
      <c r="C8" s="209"/>
      <c r="D8" s="209"/>
      <c r="E8" s="209"/>
      <c r="F8" s="209"/>
      <c r="G8" s="209"/>
      <c r="H8" s="209"/>
      <c r="I8" s="209"/>
      <c r="J8" s="209"/>
      <c r="K8" s="209"/>
      <c r="L8" s="209"/>
      <c r="M8" s="209"/>
      <c r="N8" s="209"/>
      <c r="O8" s="208"/>
    </row>
    <row r="9" spans="2:15" ht="7.5" customHeight="1">
      <c r="B9" s="210"/>
      <c r="C9" s="211"/>
      <c r="D9" s="211"/>
      <c r="E9" s="211"/>
      <c r="F9" s="211"/>
      <c r="G9" s="211"/>
      <c r="H9" s="211"/>
      <c r="I9" s="211"/>
      <c r="J9" s="211"/>
      <c r="K9" s="211"/>
      <c r="L9" s="211"/>
      <c r="M9" s="211"/>
      <c r="N9" s="212"/>
      <c r="O9" s="208"/>
    </row>
    <row r="10" spans="2:15" ht="15.75">
      <c r="B10" s="220"/>
      <c r="C10" s="214" t="s">
        <v>272</v>
      </c>
      <c r="D10" s="221"/>
      <c r="E10" s="221"/>
      <c r="F10" s="221"/>
      <c r="G10" s="221"/>
      <c r="H10" s="221"/>
      <c r="I10" s="221"/>
      <c r="J10" s="221"/>
      <c r="K10" s="221"/>
      <c r="L10" s="221"/>
      <c r="M10" s="221"/>
      <c r="N10" s="222"/>
      <c r="O10" s="208"/>
    </row>
    <row r="11" spans="2:15" ht="174" customHeight="1">
      <c r="B11" s="223"/>
      <c r="C11" s="603" t="s">
        <v>434</v>
      </c>
      <c r="D11" s="603"/>
      <c r="E11" s="603"/>
      <c r="F11" s="603"/>
      <c r="G11" s="603"/>
      <c r="H11" s="603"/>
      <c r="I11" s="603"/>
      <c r="J11" s="603"/>
      <c r="K11" s="603"/>
      <c r="L11" s="603"/>
      <c r="M11" s="603"/>
      <c r="N11" s="224"/>
      <c r="O11" s="208"/>
    </row>
    <row r="12" spans="2:15" ht="8.25" customHeight="1">
      <c r="B12" s="217"/>
      <c r="C12" s="218"/>
      <c r="D12" s="218"/>
      <c r="E12" s="218"/>
      <c r="F12" s="218"/>
      <c r="G12" s="218"/>
      <c r="H12" s="218"/>
      <c r="I12" s="218"/>
      <c r="J12" s="218"/>
      <c r="K12" s="218"/>
      <c r="L12" s="218"/>
      <c r="M12" s="218"/>
      <c r="N12" s="219"/>
      <c r="O12" s="208"/>
    </row>
    <row r="13" spans="2:15" ht="12.75">
      <c r="B13" s="209"/>
      <c r="C13" s="209"/>
      <c r="D13" s="209"/>
      <c r="E13" s="209"/>
      <c r="F13" s="209"/>
      <c r="G13" s="209"/>
      <c r="H13" s="209"/>
      <c r="I13" s="209"/>
      <c r="J13" s="209"/>
      <c r="K13" s="209"/>
      <c r="L13" s="209"/>
      <c r="M13" s="209"/>
      <c r="N13" s="209"/>
      <c r="O13" s="208"/>
    </row>
    <row r="14" spans="2:15" ht="48.75" customHeight="1"/>
    <row r="15" spans="2:15">
      <c r="B15" t="s">
        <v>275</v>
      </c>
    </row>
    <row r="16" spans="2:15">
      <c r="B16" s="207" t="s">
        <v>276</v>
      </c>
    </row>
    <row r="19" spans="2:2">
      <c r="B19" t="s">
        <v>277</v>
      </c>
    </row>
    <row r="21" spans="2:2">
      <c r="B21" t="s">
        <v>352</v>
      </c>
    </row>
  </sheetData>
  <mergeCells count="2">
    <mergeCell ref="C6:M6"/>
    <mergeCell ref="C11:M11"/>
  </mergeCells>
  <hyperlinks>
    <hyperlink ref="B16" r:id="rId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Q253"/>
  <sheetViews>
    <sheetView showGridLines="0" zoomScale="85" zoomScaleNormal="85" workbookViewId="0">
      <pane ySplit="1" topLeftCell="A2" activePane="bottomLeft" state="frozen"/>
      <selection pane="bottomLeft" activeCell="F225" sqref="F225"/>
    </sheetView>
  </sheetViews>
  <sheetFormatPr baseColWidth="10" defaultRowHeight="12"/>
  <cols>
    <col min="2" max="2" width="29.42578125" style="257" bestFit="1" customWidth="1"/>
    <col min="3" max="3" width="23.140625" style="199" bestFit="1" customWidth="1"/>
    <col min="4" max="4" width="49" bestFit="1" customWidth="1"/>
    <col min="5" max="5" width="23.85546875" bestFit="1" customWidth="1"/>
    <col min="6" max="6" width="18.28515625" bestFit="1" customWidth="1"/>
    <col min="7" max="7" width="12.28515625" style="201" customWidth="1"/>
    <col min="8" max="8" width="17.140625" bestFit="1" customWidth="1"/>
    <col min="9" max="9" width="43" bestFit="1" customWidth="1"/>
    <col min="10" max="10" width="30.140625" customWidth="1"/>
    <col min="11" max="11" width="5.42578125" customWidth="1"/>
  </cols>
  <sheetData>
    <row r="1" spans="2:17">
      <c r="B1" s="297" t="s">
        <v>192</v>
      </c>
      <c r="C1" s="443" t="s">
        <v>198</v>
      </c>
      <c r="D1" s="444" t="s">
        <v>193</v>
      </c>
      <c r="E1" s="444" t="s">
        <v>194</v>
      </c>
      <c r="F1" s="444" t="s">
        <v>98</v>
      </c>
      <c r="G1" s="444" t="s">
        <v>199</v>
      </c>
      <c r="H1" s="444" t="s">
        <v>195</v>
      </c>
      <c r="I1" s="444" t="s">
        <v>425</v>
      </c>
      <c r="J1" s="444" t="s">
        <v>56</v>
      </c>
    </row>
    <row r="2" spans="2:17">
      <c r="B2" s="427" t="s">
        <v>58</v>
      </c>
      <c r="C2" s="259" t="s">
        <v>317</v>
      </c>
      <c r="D2" s="17" t="s">
        <v>14</v>
      </c>
      <c r="E2" s="198">
        <v>0.32400000000000001</v>
      </c>
      <c r="F2" s="198" t="s">
        <v>200</v>
      </c>
      <c r="G2" s="200">
        <v>0.05</v>
      </c>
      <c r="H2" s="202">
        <v>43181</v>
      </c>
      <c r="I2" s="203">
        <v>43070</v>
      </c>
      <c r="J2" s="198" t="s">
        <v>416</v>
      </c>
    </row>
    <row r="3" spans="2:17">
      <c r="B3" s="427" t="s">
        <v>58</v>
      </c>
      <c r="C3" s="259" t="s">
        <v>67</v>
      </c>
      <c r="D3" s="17" t="s">
        <v>68</v>
      </c>
      <c r="E3" s="198">
        <v>0.32400000000000001</v>
      </c>
      <c r="F3" s="198" t="s">
        <v>200</v>
      </c>
      <c r="G3" s="200">
        <v>0.05</v>
      </c>
      <c r="H3" s="202">
        <v>43181</v>
      </c>
      <c r="I3" s="203">
        <v>42186</v>
      </c>
      <c r="J3" s="198" t="s">
        <v>416</v>
      </c>
    </row>
    <row r="4" spans="2:17">
      <c r="B4" s="427" t="s">
        <v>58</v>
      </c>
      <c r="C4" s="259" t="s">
        <v>67</v>
      </c>
      <c r="D4" s="53" t="s">
        <v>128</v>
      </c>
      <c r="E4" s="198">
        <v>0.24299999999999999</v>
      </c>
      <c r="F4" s="198" t="s">
        <v>201</v>
      </c>
      <c r="G4" s="200">
        <v>0.05</v>
      </c>
      <c r="H4" s="202">
        <v>43181</v>
      </c>
      <c r="I4" s="203">
        <v>43070</v>
      </c>
      <c r="J4" s="198" t="s">
        <v>416</v>
      </c>
    </row>
    <row r="5" spans="2:17" ht="12.75" thickBot="1">
      <c r="B5" s="427" t="s">
        <v>58</v>
      </c>
      <c r="C5" s="259" t="s">
        <v>67</v>
      </c>
      <c r="D5" s="17" t="s">
        <v>387</v>
      </c>
      <c r="E5" s="198">
        <v>3.04E-2</v>
      </c>
      <c r="F5" s="198" t="s">
        <v>200</v>
      </c>
      <c r="G5" s="200">
        <v>0.5</v>
      </c>
      <c r="H5" s="202">
        <v>43375</v>
      </c>
      <c r="I5" s="203">
        <v>43070</v>
      </c>
      <c r="J5" s="198" t="s">
        <v>416</v>
      </c>
    </row>
    <row r="6" spans="2:17">
      <c r="B6" s="427" t="s">
        <v>58</v>
      </c>
      <c r="C6" s="259" t="s">
        <v>67</v>
      </c>
      <c r="D6" s="340" t="s">
        <v>357</v>
      </c>
      <c r="E6" s="341"/>
      <c r="F6" s="341"/>
      <c r="G6" s="342"/>
      <c r="H6" s="343"/>
      <c r="I6" s="345"/>
      <c r="J6" s="341"/>
      <c r="L6" s="604" t="s">
        <v>389</v>
      </c>
      <c r="M6" s="605"/>
      <c r="N6" s="605"/>
      <c r="O6" s="605"/>
      <c r="P6" s="605"/>
      <c r="Q6" s="606"/>
    </row>
    <row r="7" spans="2:17">
      <c r="B7" s="427" t="s">
        <v>58</v>
      </c>
      <c r="C7" s="259" t="s">
        <v>67</v>
      </c>
      <c r="D7" s="340" t="s">
        <v>357</v>
      </c>
      <c r="E7" s="341"/>
      <c r="F7" s="341"/>
      <c r="G7" s="342"/>
      <c r="H7" s="343"/>
      <c r="I7" s="345"/>
      <c r="J7" s="341"/>
      <c r="L7" s="607"/>
      <c r="M7" s="608"/>
      <c r="N7" s="608"/>
      <c r="O7" s="608"/>
      <c r="P7" s="608"/>
      <c r="Q7" s="609"/>
    </row>
    <row r="8" spans="2:17">
      <c r="B8" s="427" t="s">
        <v>58</v>
      </c>
      <c r="C8" s="259" t="s">
        <v>67</v>
      </c>
      <c r="D8" s="340" t="s">
        <v>357</v>
      </c>
      <c r="E8" s="341"/>
      <c r="F8" s="341"/>
      <c r="G8" s="342"/>
      <c r="H8" s="343"/>
      <c r="I8" s="345"/>
      <c r="J8" s="341"/>
      <c r="L8" s="607"/>
      <c r="M8" s="608"/>
      <c r="N8" s="608"/>
      <c r="O8" s="608"/>
      <c r="P8" s="608"/>
      <c r="Q8" s="609"/>
    </row>
    <row r="9" spans="2:17" ht="12.75" thickBot="1">
      <c r="B9" s="427" t="s">
        <v>58</v>
      </c>
      <c r="C9" s="259" t="s">
        <v>67</v>
      </c>
      <c r="D9" s="340" t="s">
        <v>357</v>
      </c>
      <c r="E9" s="341"/>
      <c r="F9" s="341"/>
      <c r="G9" s="342"/>
      <c r="H9" s="343"/>
      <c r="I9" s="345"/>
      <c r="J9" s="341"/>
      <c r="L9" s="394" t="s">
        <v>388</v>
      </c>
      <c r="M9" s="395"/>
      <c r="N9" s="395"/>
      <c r="O9" s="395"/>
      <c r="P9" s="395"/>
      <c r="Q9" s="396"/>
    </row>
    <row r="10" spans="2:17">
      <c r="B10" s="427" t="s">
        <v>58</v>
      </c>
      <c r="C10" s="259" t="s">
        <v>67</v>
      </c>
      <c r="D10" s="340" t="s">
        <v>357</v>
      </c>
      <c r="E10" s="341"/>
      <c r="F10" s="341"/>
      <c r="G10" s="342"/>
      <c r="H10" s="343"/>
      <c r="I10" s="345"/>
      <c r="J10" s="341"/>
    </row>
    <row r="11" spans="2:17">
      <c r="B11" s="427" t="s">
        <v>58</v>
      </c>
      <c r="C11" s="260" t="s">
        <v>54</v>
      </c>
      <c r="D11" s="197" t="s">
        <v>31</v>
      </c>
      <c r="E11" s="198">
        <v>6.4699999999999994E-2</v>
      </c>
      <c r="F11" s="198" t="s">
        <v>202</v>
      </c>
      <c r="G11" s="200">
        <v>0.1</v>
      </c>
      <c r="H11" s="202">
        <v>43181</v>
      </c>
      <c r="I11" s="198">
        <v>2016</v>
      </c>
      <c r="J11" s="198" t="s">
        <v>416</v>
      </c>
    </row>
    <row r="12" spans="2:17">
      <c r="B12" s="427" t="s">
        <v>58</v>
      </c>
      <c r="C12" s="260" t="s">
        <v>54</v>
      </c>
      <c r="D12" s="340" t="s">
        <v>357</v>
      </c>
      <c r="E12" s="341"/>
      <c r="F12" s="341"/>
      <c r="G12" s="342"/>
      <c r="H12" s="343"/>
      <c r="I12" s="341"/>
      <c r="J12" s="341"/>
    </row>
    <row r="13" spans="2:17">
      <c r="B13" s="427" t="s">
        <v>58</v>
      </c>
      <c r="C13" s="260" t="s">
        <v>54</v>
      </c>
      <c r="D13" s="340" t="s">
        <v>357</v>
      </c>
      <c r="E13" s="341"/>
      <c r="F13" s="341"/>
      <c r="G13" s="342"/>
      <c r="H13" s="343"/>
      <c r="I13" s="341"/>
      <c r="J13" s="341"/>
    </row>
    <row r="14" spans="2:17">
      <c r="B14" s="427" t="s">
        <v>58</v>
      </c>
      <c r="C14" s="260" t="s">
        <v>54</v>
      </c>
      <c r="D14" s="340" t="s">
        <v>357</v>
      </c>
      <c r="E14" s="341"/>
      <c r="F14" s="341"/>
      <c r="G14" s="342"/>
      <c r="H14" s="343"/>
      <c r="I14" s="341"/>
      <c r="J14" s="341"/>
    </row>
    <row r="15" spans="2:17">
      <c r="B15" s="427" t="s">
        <v>58</v>
      </c>
      <c r="C15" s="260" t="s">
        <v>54</v>
      </c>
      <c r="D15" s="340" t="s">
        <v>357</v>
      </c>
      <c r="E15" s="341"/>
      <c r="F15" s="341"/>
      <c r="G15" s="342"/>
      <c r="H15" s="343"/>
      <c r="I15" s="341"/>
      <c r="J15" s="341"/>
    </row>
    <row r="16" spans="2:17">
      <c r="B16" s="427" t="s">
        <v>58</v>
      </c>
      <c r="C16" s="260" t="s">
        <v>54</v>
      </c>
      <c r="D16" s="340" t="s">
        <v>357</v>
      </c>
      <c r="E16" s="341"/>
      <c r="F16" s="341"/>
      <c r="G16" s="342"/>
      <c r="H16" s="343"/>
      <c r="I16" s="341"/>
      <c r="J16" s="341"/>
    </row>
    <row r="17" spans="2:10">
      <c r="B17" s="427" t="s">
        <v>58</v>
      </c>
      <c r="C17" s="261" t="s">
        <v>316</v>
      </c>
      <c r="D17" s="17" t="s">
        <v>23</v>
      </c>
      <c r="E17" s="198">
        <v>1300</v>
      </c>
      <c r="F17" s="242" t="s">
        <v>300</v>
      </c>
      <c r="G17" s="200">
        <v>0.3</v>
      </c>
      <c r="H17" s="202">
        <v>43364</v>
      </c>
      <c r="I17" s="198"/>
      <c r="J17" s="198" t="s">
        <v>298</v>
      </c>
    </row>
    <row r="18" spans="2:10">
      <c r="B18" s="427" t="s">
        <v>58</v>
      </c>
      <c r="C18" s="261" t="s">
        <v>316</v>
      </c>
      <c r="D18" s="53" t="s">
        <v>295</v>
      </c>
      <c r="E18" s="198">
        <v>1760</v>
      </c>
      <c r="F18" s="242" t="s">
        <v>300</v>
      </c>
      <c r="G18" s="200">
        <v>0.3</v>
      </c>
      <c r="H18" s="202">
        <v>43364</v>
      </c>
      <c r="I18" s="393"/>
      <c r="J18" s="393" t="s">
        <v>294</v>
      </c>
    </row>
    <row r="19" spans="2:10">
      <c r="B19" s="427" t="s">
        <v>58</v>
      </c>
      <c r="C19" s="261" t="s">
        <v>316</v>
      </c>
      <c r="D19" s="17" t="s">
        <v>303</v>
      </c>
      <c r="E19" s="242">
        <v>675</v>
      </c>
      <c r="F19" s="242" t="s">
        <v>300</v>
      </c>
      <c r="G19" s="200">
        <v>0.3</v>
      </c>
      <c r="H19" s="202">
        <v>43364</v>
      </c>
      <c r="I19" s="393"/>
      <c r="J19" s="198" t="s">
        <v>416</v>
      </c>
    </row>
    <row r="20" spans="2:10">
      <c r="B20" s="427" t="s">
        <v>58</v>
      </c>
      <c r="C20" s="261" t="s">
        <v>316</v>
      </c>
      <c r="D20" s="17" t="s">
        <v>296</v>
      </c>
      <c r="E20" s="198">
        <v>3943</v>
      </c>
      <c r="F20" s="242" t="s">
        <v>300</v>
      </c>
      <c r="G20" s="200">
        <v>0.3</v>
      </c>
      <c r="H20" s="202">
        <v>43364</v>
      </c>
      <c r="I20" s="393"/>
      <c r="J20" s="393" t="s">
        <v>294</v>
      </c>
    </row>
    <row r="21" spans="2:10">
      <c r="B21" s="427" t="s">
        <v>58</v>
      </c>
      <c r="C21" s="261" t="s">
        <v>316</v>
      </c>
      <c r="D21" s="17" t="s">
        <v>297</v>
      </c>
      <c r="E21" s="198">
        <v>1624</v>
      </c>
      <c r="F21" s="242" t="s">
        <v>300</v>
      </c>
      <c r="G21" s="200">
        <v>0.3</v>
      </c>
      <c r="H21" s="202">
        <v>43364</v>
      </c>
      <c r="I21" s="393"/>
      <c r="J21" s="393" t="s">
        <v>294</v>
      </c>
    </row>
    <row r="22" spans="2:10">
      <c r="B22" s="427" t="s">
        <v>58</v>
      </c>
      <c r="C22" s="261" t="s">
        <v>316</v>
      </c>
      <c r="D22" s="17" t="s">
        <v>302</v>
      </c>
      <c r="E22" s="242">
        <v>2088</v>
      </c>
      <c r="F22" s="242" t="s">
        <v>300</v>
      </c>
      <c r="G22" s="200">
        <v>0.3</v>
      </c>
      <c r="H22" s="202">
        <v>43364</v>
      </c>
      <c r="I22" s="393"/>
      <c r="J22" s="198" t="s">
        <v>416</v>
      </c>
    </row>
    <row r="23" spans="2:10">
      <c r="B23" s="427" t="s">
        <v>58</v>
      </c>
      <c r="C23" s="261" t="s">
        <v>316</v>
      </c>
      <c r="D23" s="17" t="s">
        <v>299</v>
      </c>
      <c r="E23" s="242">
        <v>2140</v>
      </c>
      <c r="F23" s="242" t="s">
        <v>300</v>
      </c>
      <c r="G23" s="200">
        <v>0.3</v>
      </c>
      <c r="H23" s="202">
        <v>43364</v>
      </c>
      <c r="I23" s="393"/>
      <c r="J23" s="198" t="s">
        <v>416</v>
      </c>
    </row>
    <row r="24" spans="2:10">
      <c r="B24" s="427" t="s">
        <v>58</v>
      </c>
      <c r="C24" s="261" t="s">
        <v>316</v>
      </c>
      <c r="D24" s="17" t="s">
        <v>301</v>
      </c>
      <c r="E24" s="242">
        <v>631</v>
      </c>
      <c r="F24" s="242" t="s">
        <v>300</v>
      </c>
      <c r="G24" s="200">
        <v>1</v>
      </c>
      <c r="H24" s="202">
        <v>43364</v>
      </c>
      <c r="I24" s="393"/>
      <c r="J24" s="198" t="s">
        <v>439</v>
      </c>
    </row>
    <row r="25" spans="2:10">
      <c r="B25" s="427" t="s">
        <v>58</v>
      </c>
      <c r="C25" s="261" t="s">
        <v>316</v>
      </c>
      <c r="D25" s="17" t="s">
        <v>304</v>
      </c>
      <c r="E25" s="242">
        <v>1</v>
      </c>
      <c r="F25" s="242" t="s">
        <v>300</v>
      </c>
      <c r="G25" s="200">
        <v>0.3</v>
      </c>
      <c r="H25" s="202">
        <v>43364</v>
      </c>
      <c r="I25" s="393"/>
      <c r="J25" s="198" t="s">
        <v>416</v>
      </c>
    </row>
    <row r="26" spans="2:10">
      <c r="B26" s="427" t="s">
        <v>58</v>
      </c>
      <c r="C26" s="261" t="s">
        <v>316</v>
      </c>
      <c r="D26" s="340" t="s">
        <v>357</v>
      </c>
      <c r="E26" s="341"/>
      <c r="F26" s="332"/>
      <c r="G26" s="342"/>
      <c r="H26" s="343"/>
      <c r="I26" s="445"/>
      <c r="J26" s="341"/>
    </row>
    <row r="27" spans="2:10">
      <c r="B27" s="427" t="s">
        <v>58</v>
      </c>
      <c r="C27" s="261" t="s">
        <v>316</v>
      </c>
      <c r="D27" s="340" t="s">
        <v>357</v>
      </c>
      <c r="E27" s="341"/>
      <c r="F27" s="332"/>
      <c r="G27" s="342"/>
      <c r="H27" s="343"/>
      <c r="I27" s="445"/>
      <c r="J27" s="341"/>
    </row>
    <row r="28" spans="2:10">
      <c r="B28" s="427" t="s">
        <v>58</v>
      </c>
      <c r="C28" s="261" t="s">
        <v>316</v>
      </c>
      <c r="D28" s="340" t="s">
        <v>357</v>
      </c>
      <c r="E28" s="341"/>
      <c r="F28" s="332"/>
      <c r="G28" s="342"/>
      <c r="H28" s="343"/>
      <c r="I28" s="445"/>
      <c r="J28" s="341"/>
    </row>
    <row r="29" spans="2:10">
      <c r="B29" s="427" t="s">
        <v>58</v>
      </c>
      <c r="C29" s="261" t="s">
        <v>316</v>
      </c>
      <c r="D29" s="340" t="s">
        <v>357</v>
      </c>
      <c r="E29" s="341"/>
      <c r="F29" s="332"/>
      <c r="G29" s="342"/>
      <c r="H29" s="343"/>
      <c r="I29" s="445"/>
      <c r="J29" s="341"/>
    </row>
    <row r="30" spans="2:10">
      <c r="B30" s="427" t="s">
        <v>58</v>
      </c>
      <c r="C30" s="261" t="s">
        <v>316</v>
      </c>
      <c r="D30" s="340" t="s">
        <v>357</v>
      </c>
      <c r="E30" s="341"/>
      <c r="F30" s="332"/>
      <c r="G30" s="342"/>
      <c r="H30" s="343"/>
      <c r="I30" s="445"/>
      <c r="J30" s="341"/>
    </row>
    <row r="31" spans="2:10">
      <c r="B31" s="262" t="s">
        <v>196</v>
      </c>
      <c r="C31" s="263" t="s">
        <v>32</v>
      </c>
      <c r="D31" s="3" t="s">
        <v>350</v>
      </c>
      <c r="E31" s="327">
        <v>0.379</v>
      </c>
      <c r="F31" s="327" t="s">
        <v>253</v>
      </c>
      <c r="G31" s="328">
        <v>0.7</v>
      </c>
      <c r="H31" s="329">
        <v>43375</v>
      </c>
      <c r="I31" s="330">
        <v>43435</v>
      </c>
      <c r="J31" s="198" t="s">
        <v>416</v>
      </c>
    </row>
    <row r="32" spans="2:10">
      <c r="B32" s="262" t="s">
        <v>196</v>
      </c>
      <c r="C32" s="263" t="s">
        <v>32</v>
      </c>
      <c r="D32" s="3" t="s">
        <v>354</v>
      </c>
      <c r="E32" s="327">
        <v>0.84799999999999998</v>
      </c>
      <c r="F32" s="327" t="s">
        <v>253</v>
      </c>
      <c r="G32" s="328">
        <v>0.7</v>
      </c>
      <c r="H32" s="329">
        <v>43375</v>
      </c>
      <c r="I32" s="330">
        <v>43435</v>
      </c>
      <c r="J32" s="198" t="s">
        <v>416</v>
      </c>
    </row>
    <row r="33" spans="2:10">
      <c r="B33" s="262" t="s">
        <v>196</v>
      </c>
      <c r="C33" s="263" t="s">
        <v>32</v>
      </c>
      <c r="D33" s="3" t="s">
        <v>353</v>
      </c>
      <c r="E33" s="327">
        <v>0.17799999999999999</v>
      </c>
      <c r="F33" s="327" t="s">
        <v>253</v>
      </c>
      <c r="G33" s="328">
        <v>0.7</v>
      </c>
      <c r="H33" s="329">
        <v>43375</v>
      </c>
      <c r="I33" s="330">
        <v>43435</v>
      </c>
      <c r="J33" s="198" t="s">
        <v>416</v>
      </c>
    </row>
    <row r="34" spans="2:10">
      <c r="B34" s="262" t="s">
        <v>196</v>
      </c>
      <c r="C34" s="263" t="s">
        <v>32</v>
      </c>
      <c r="D34" s="3" t="s">
        <v>351</v>
      </c>
      <c r="E34" s="327">
        <v>0.105</v>
      </c>
      <c r="F34" s="327" t="s">
        <v>253</v>
      </c>
      <c r="G34" s="328">
        <v>0.7</v>
      </c>
      <c r="H34" s="329">
        <v>43375</v>
      </c>
      <c r="I34" s="330">
        <v>43435</v>
      </c>
      <c r="J34" s="198" t="s">
        <v>416</v>
      </c>
    </row>
    <row r="35" spans="2:10">
      <c r="B35" s="262" t="s">
        <v>196</v>
      </c>
      <c r="C35" s="263" t="s">
        <v>32</v>
      </c>
      <c r="D35" s="3" t="s">
        <v>349</v>
      </c>
      <c r="E35" s="327">
        <v>1.2</v>
      </c>
      <c r="F35" s="327" t="s">
        <v>253</v>
      </c>
      <c r="G35" s="328">
        <v>0.7</v>
      </c>
      <c r="H35" s="329">
        <v>43375</v>
      </c>
      <c r="I35" s="330">
        <v>43435</v>
      </c>
      <c r="J35" s="198" t="s">
        <v>416</v>
      </c>
    </row>
    <row r="36" spans="2:10">
      <c r="B36" s="262" t="s">
        <v>196</v>
      </c>
      <c r="C36" s="263" t="s">
        <v>32</v>
      </c>
      <c r="D36" s="340" t="s">
        <v>357</v>
      </c>
      <c r="E36" s="341"/>
      <c r="F36" s="341"/>
      <c r="G36" s="342"/>
      <c r="H36" s="341"/>
      <c r="I36" s="341"/>
      <c r="J36" s="341"/>
    </row>
    <row r="37" spans="2:10">
      <c r="B37" s="262" t="s">
        <v>196</v>
      </c>
      <c r="C37" s="263" t="s">
        <v>32</v>
      </c>
      <c r="D37" s="340" t="s">
        <v>357</v>
      </c>
      <c r="E37" s="341"/>
      <c r="F37" s="341"/>
      <c r="G37" s="342"/>
      <c r="H37" s="341"/>
      <c r="I37" s="341"/>
      <c r="J37" s="341"/>
    </row>
    <row r="38" spans="2:10">
      <c r="B38" s="262" t="s">
        <v>196</v>
      </c>
      <c r="C38" s="263" t="s">
        <v>32</v>
      </c>
      <c r="D38" s="340" t="s">
        <v>357</v>
      </c>
      <c r="E38" s="341"/>
      <c r="F38" s="341"/>
      <c r="G38" s="342"/>
      <c r="H38" s="341"/>
      <c r="I38" s="341"/>
      <c r="J38" s="341"/>
    </row>
    <row r="39" spans="2:10">
      <c r="B39" s="262" t="s">
        <v>196</v>
      </c>
      <c r="C39" s="263" t="s">
        <v>32</v>
      </c>
      <c r="D39" s="340" t="s">
        <v>357</v>
      </c>
      <c r="E39" s="341"/>
      <c r="F39" s="341"/>
      <c r="G39" s="342"/>
      <c r="H39" s="341"/>
      <c r="I39" s="341"/>
      <c r="J39" s="341"/>
    </row>
    <row r="40" spans="2:10">
      <c r="B40" s="262" t="s">
        <v>196</v>
      </c>
      <c r="C40" s="263" t="s">
        <v>32</v>
      </c>
      <c r="D40" s="340" t="s">
        <v>357</v>
      </c>
      <c r="E40" s="341"/>
      <c r="F40" s="341"/>
      <c r="G40" s="342"/>
      <c r="H40" s="341"/>
      <c r="I40" s="341"/>
      <c r="J40" s="341"/>
    </row>
    <row r="41" spans="2:10">
      <c r="B41" s="262" t="s">
        <v>196</v>
      </c>
      <c r="C41" s="264" t="s">
        <v>33</v>
      </c>
      <c r="D41" s="17" t="s">
        <v>251</v>
      </c>
      <c r="E41" s="198">
        <v>2.5099999999999998</v>
      </c>
      <c r="F41" s="198" t="s">
        <v>253</v>
      </c>
      <c r="G41" s="200">
        <v>0.5</v>
      </c>
      <c r="H41" s="202">
        <v>43357</v>
      </c>
      <c r="I41" s="203">
        <v>43070</v>
      </c>
      <c r="J41" s="198" t="s">
        <v>416</v>
      </c>
    </row>
    <row r="42" spans="2:10">
      <c r="B42" s="262" t="s">
        <v>196</v>
      </c>
      <c r="C42" s="264" t="s">
        <v>33</v>
      </c>
      <c r="D42" s="17" t="s">
        <v>252</v>
      </c>
      <c r="E42" s="198">
        <v>2.58</v>
      </c>
      <c r="F42" s="198" t="s">
        <v>253</v>
      </c>
      <c r="G42" s="200">
        <v>0.5</v>
      </c>
      <c r="H42" s="202">
        <v>43357</v>
      </c>
      <c r="I42" s="203">
        <v>43070</v>
      </c>
      <c r="J42" s="198" t="s">
        <v>416</v>
      </c>
    </row>
    <row r="43" spans="2:10">
      <c r="B43" s="262" t="s">
        <v>196</v>
      </c>
      <c r="C43" s="264" t="s">
        <v>33</v>
      </c>
      <c r="D43" s="17" t="s">
        <v>254</v>
      </c>
      <c r="E43" s="198">
        <v>2.23</v>
      </c>
      <c r="F43" s="198" t="s">
        <v>253</v>
      </c>
      <c r="G43" s="200">
        <v>0.5</v>
      </c>
      <c r="H43" s="202">
        <v>43357</v>
      </c>
      <c r="I43" s="203">
        <v>43070</v>
      </c>
      <c r="J43" s="198" t="s">
        <v>416</v>
      </c>
    </row>
    <row r="44" spans="2:10">
      <c r="B44" s="262" t="s">
        <v>196</v>
      </c>
      <c r="C44" s="264" t="s">
        <v>33</v>
      </c>
      <c r="D44" s="340" t="s">
        <v>357</v>
      </c>
      <c r="E44" s="341"/>
      <c r="F44" s="341"/>
      <c r="G44" s="342"/>
      <c r="H44" s="343"/>
      <c r="I44" s="345"/>
      <c r="J44" s="341"/>
    </row>
    <row r="45" spans="2:10">
      <c r="B45" s="262" t="s">
        <v>196</v>
      </c>
      <c r="C45" s="264" t="s">
        <v>33</v>
      </c>
      <c r="D45" s="340" t="s">
        <v>357</v>
      </c>
      <c r="E45" s="341"/>
      <c r="F45" s="341"/>
      <c r="G45" s="342"/>
      <c r="H45" s="343"/>
      <c r="I45" s="345"/>
      <c r="J45" s="341"/>
    </row>
    <row r="46" spans="2:10">
      <c r="B46" s="262" t="s">
        <v>196</v>
      </c>
      <c r="C46" s="264" t="s">
        <v>33</v>
      </c>
      <c r="D46" s="340" t="s">
        <v>357</v>
      </c>
      <c r="E46" s="341"/>
      <c r="F46" s="341"/>
      <c r="G46" s="342"/>
      <c r="H46" s="343"/>
      <c r="I46" s="345"/>
      <c r="J46" s="341"/>
    </row>
    <row r="47" spans="2:10">
      <c r="B47" s="262" t="s">
        <v>196</v>
      </c>
      <c r="C47" s="264" t="s">
        <v>33</v>
      </c>
      <c r="D47" s="340" t="s">
        <v>357</v>
      </c>
      <c r="E47" s="341"/>
      <c r="F47" s="341"/>
      <c r="G47" s="342"/>
      <c r="H47" s="343"/>
      <c r="I47" s="345"/>
      <c r="J47" s="341"/>
    </row>
    <row r="48" spans="2:10">
      <c r="B48" s="262" t="s">
        <v>196</v>
      </c>
      <c r="C48" s="264" t="s">
        <v>33</v>
      </c>
      <c r="D48" s="340" t="s">
        <v>357</v>
      </c>
      <c r="E48" s="341"/>
      <c r="F48" s="341"/>
      <c r="G48" s="342"/>
      <c r="H48" s="343"/>
      <c r="I48" s="345"/>
      <c r="J48" s="341"/>
    </row>
    <row r="49" spans="2:10">
      <c r="B49" s="262" t="s">
        <v>196</v>
      </c>
      <c r="C49" s="265" t="s">
        <v>34</v>
      </c>
      <c r="D49" s="17" t="s">
        <v>255</v>
      </c>
      <c r="E49" s="198">
        <v>2.2599999999999999E-2</v>
      </c>
      <c r="F49" s="198" t="s">
        <v>253</v>
      </c>
      <c r="G49" s="200">
        <v>0.5</v>
      </c>
      <c r="H49" s="202">
        <v>43357</v>
      </c>
      <c r="I49" s="203">
        <v>43070</v>
      </c>
      <c r="J49" s="198" t="s">
        <v>416</v>
      </c>
    </row>
    <row r="50" spans="2:10">
      <c r="B50" s="262" t="s">
        <v>196</v>
      </c>
      <c r="C50" s="265" t="s">
        <v>34</v>
      </c>
      <c r="D50" s="17" t="s">
        <v>256</v>
      </c>
      <c r="E50" s="205">
        <v>1.4599999999999999E-3</v>
      </c>
      <c r="F50" s="198" t="s">
        <v>253</v>
      </c>
      <c r="G50" s="200">
        <v>0.7</v>
      </c>
      <c r="H50" s="202">
        <v>43357</v>
      </c>
      <c r="I50" s="203">
        <v>43070</v>
      </c>
      <c r="J50" s="198" t="s">
        <v>416</v>
      </c>
    </row>
    <row r="51" spans="2:10">
      <c r="B51" s="262" t="s">
        <v>196</v>
      </c>
      <c r="C51" s="265" t="s">
        <v>34</v>
      </c>
      <c r="D51" s="340" t="s">
        <v>357</v>
      </c>
      <c r="E51" s="344"/>
      <c r="F51" s="341"/>
      <c r="G51" s="342"/>
      <c r="H51" s="343"/>
      <c r="I51" s="345"/>
      <c r="J51" s="341"/>
    </row>
    <row r="52" spans="2:10">
      <c r="B52" s="262" t="s">
        <v>196</v>
      </c>
      <c r="C52" s="265" t="s">
        <v>34</v>
      </c>
      <c r="D52" s="340" t="s">
        <v>357</v>
      </c>
      <c r="E52" s="344"/>
      <c r="F52" s="341"/>
      <c r="G52" s="342"/>
      <c r="H52" s="343"/>
      <c r="I52" s="345"/>
      <c r="J52" s="341"/>
    </row>
    <row r="53" spans="2:10">
      <c r="B53" s="262" t="s">
        <v>196</v>
      </c>
      <c r="C53" s="265" t="s">
        <v>34</v>
      </c>
      <c r="D53" s="340" t="s">
        <v>357</v>
      </c>
      <c r="E53" s="344"/>
      <c r="F53" s="341"/>
      <c r="G53" s="342"/>
      <c r="H53" s="343"/>
      <c r="I53" s="345"/>
      <c r="J53" s="341"/>
    </row>
    <row r="54" spans="2:10">
      <c r="B54" s="262" t="s">
        <v>196</v>
      </c>
      <c r="C54" s="265" t="s">
        <v>34</v>
      </c>
      <c r="D54" s="340" t="s">
        <v>357</v>
      </c>
      <c r="E54" s="344"/>
      <c r="F54" s="341"/>
      <c r="G54" s="342"/>
      <c r="H54" s="343"/>
      <c r="I54" s="345"/>
      <c r="J54" s="341"/>
    </row>
    <row r="55" spans="2:10">
      <c r="B55" s="262" t="s">
        <v>196</v>
      </c>
      <c r="C55" s="265" t="s">
        <v>34</v>
      </c>
      <c r="D55" s="340" t="s">
        <v>357</v>
      </c>
      <c r="E55" s="344"/>
      <c r="F55" s="341"/>
      <c r="G55" s="342"/>
      <c r="H55" s="343"/>
      <c r="I55" s="345"/>
      <c r="J55" s="341"/>
    </row>
    <row r="56" spans="2:10">
      <c r="B56" s="262" t="s">
        <v>196</v>
      </c>
      <c r="C56" s="324" t="s">
        <v>337</v>
      </c>
      <c r="D56" s="325" t="s">
        <v>338</v>
      </c>
      <c r="E56" s="326">
        <v>3.3099999999999997E-2</v>
      </c>
      <c r="F56" s="327" t="s">
        <v>253</v>
      </c>
      <c r="G56" s="328">
        <v>0.6</v>
      </c>
      <c r="H56" s="329">
        <v>43376</v>
      </c>
      <c r="I56" s="330">
        <v>43070</v>
      </c>
      <c r="J56" s="198" t="s">
        <v>416</v>
      </c>
    </row>
    <row r="57" spans="2:10">
      <c r="B57" s="262" t="s">
        <v>196</v>
      </c>
      <c r="C57" s="324" t="s">
        <v>337</v>
      </c>
      <c r="D57" s="325" t="s">
        <v>339</v>
      </c>
      <c r="E57" s="326">
        <v>1.37E-2</v>
      </c>
      <c r="F57" s="327" t="s">
        <v>253</v>
      </c>
      <c r="G57" s="328">
        <v>0.56000000000000005</v>
      </c>
      <c r="H57" s="329">
        <v>43376</v>
      </c>
      <c r="I57" s="330">
        <v>43070</v>
      </c>
      <c r="J57" s="198" t="s">
        <v>416</v>
      </c>
    </row>
    <row r="58" spans="2:10">
      <c r="B58" s="262" t="s">
        <v>196</v>
      </c>
      <c r="C58" s="324" t="s">
        <v>337</v>
      </c>
      <c r="D58" s="340" t="s">
        <v>357</v>
      </c>
      <c r="E58" s="344"/>
      <c r="F58" s="341"/>
      <c r="G58" s="342"/>
      <c r="H58" s="343"/>
      <c r="I58" s="345"/>
      <c r="J58" s="341"/>
    </row>
    <row r="59" spans="2:10">
      <c r="B59" s="262" t="s">
        <v>196</v>
      </c>
      <c r="C59" s="324" t="s">
        <v>337</v>
      </c>
      <c r="D59" s="340" t="s">
        <v>357</v>
      </c>
      <c r="E59" s="344"/>
      <c r="F59" s="341"/>
      <c r="G59" s="342"/>
      <c r="H59" s="343"/>
      <c r="I59" s="345"/>
      <c r="J59" s="341"/>
    </row>
    <row r="60" spans="2:10">
      <c r="B60" s="262" t="s">
        <v>196</v>
      </c>
      <c r="C60" s="324" t="s">
        <v>337</v>
      </c>
      <c r="D60" s="340" t="s">
        <v>357</v>
      </c>
      <c r="E60" s="344"/>
      <c r="F60" s="341"/>
      <c r="G60" s="342"/>
      <c r="H60" s="343"/>
      <c r="I60" s="345"/>
      <c r="J60" s="341"/>
    </row>
    <row r="61" spans="2:10">
      <c r="B61" s="262" t="s">
        <v>196</v>
      </c>
      <c r="C61" s="324" t="s">
        <v>337</v>
      </c>
      <c r="D61" s="340" t="s">
        <v>357</v>
      </c>
      <c r="E61" s="344"/>
      <c r="F61" s="341"/>
      <c r="G61" s="342"/>
      <c r="H61" s="343"/>
      <c r="I61" s="345"/>
      <c r="J61" s="341"/>
    </row>
    <row r="62" spans="2:10">
      <c r="B62" s="262" t="s">
        <v>196</v>
      </c>
      <c r="C62" s="324" t="s">
        <v>337</v>
      </c>
      <c r="D62" s="340" t="s">
        <v>357</v>
      </c>
      <c r="E62" s="344"/>
      <c r="F62" s="341"/>
      <c r="G62" s="342"/>
      <c r="H62" s="343"/>
      <c r="I62" s="345"/>
      <c r="J62" s="341"/>
    </row>
    <row r="63" spans="2:10">
      <c r="B63" s="419" t="s">
        <v>197</v>
      </c>
      <c r="C63" s="266" t="s">
        <v>446</v>
      </c>
      <c r="D63" s="204" t="s">
        <v>203</v>
      </c>
      <c r="E63" s="198">
        <v>0.25900000000000001</v>
      </c>
      <c r="F63" s="198" t="s">
        <v>205</v>
      </c>
      <c r="G63" s="200">
        <v>0.2</v>
      </c>
      <c r="H63" s="202">
        <v>43181</v>
      </c>
      <c r="I63" s="203">
        <v>43435</v>
      </c>
      <c r="J63" s="198" t="s">
        <v>416</v>
      </c>
    </row>
    <row r="64" spans="2:10">
      <c r="B64" s="419" t="s">
        <v>197</v>
      </c>
      <c r="C64" s="266" t="s">
        <v>446</v>
      </c>
      <c r="D64" s="204" t="s">
        <v>204</v>
      </c>
      <c r="E64" s="198">
        <v>0.251</v>
      </c>
      <c r="F64" s="198" t="s">
        <v>205</v>
      </c>
      <c r="G64" s="200">
        <v>0.2</v>
      </c>
      <c r="H64" s="202">
        <v>43181</v>
      </c>
      <c r="I64" s="203">
        <v>43435</v>
      </c>
      <c r="J64" s="198" t="s">
        <v>416</v>
      </c>
    </row>
    <row r="65" spans="2:10">
      <c r="B65" s="419" t="s">
        <v>197</v>
      </c>
      <c r="C65" s="266" t="s">
        <v>446</v>
      </c>
      <c r="D65" s="340" t="s">
        <v>357</v>
      </c>
      <c r="E65" s="341"/>
      <c r="F65" s="341"/>
      <c r="G65" s="342"/>
      <c r="H65" s="343"/>
      <c r="I65" s="345"/>
      <c r="J65" s="341"/>
    </row>
    <row r="66" spans="2:10">
      <c r="B66" s="419" t="s">
        <v>197</v>
      </c>
      <c r="C66" s="266" t="s">
        <v>446</v>
      </c>
      <c r="D66" s="340" t="s">
        <v>357</v>
      </c>
      <c r="E66" s="341"/>
      <c r="F66" s="341"/>
      <c r="G66" s="342"/>
      <c r="H66" s="343"/>
      <c r="I66" s="345"/>
      <c r="J66" s="341"/>
    </row>
    <row r="67" spans="2:10">
      <c r="B67" s="419" t="s">
        <v>197</v>
      </c>
      <c r="C67" s="266" t="s">
        <v>446</v>
      </c>
      <c r="D67" s="340" t="s">
        <v>357</v>
      </c>
      <c r="E67" s="341"/>
      <c r="F67" s="341"/>
      <c r="G67" s="342"/>
      <c r="H67" s="343"/>
      <c r="I67" s="345"/>
      <c r="J67" s="341"/>
    </row>
    <row r="68" spans="2:10">
      <c r="B68" s="419" t="s">
        <v>197</v>
      </c>
      <c r="C68" s="266" t="s">
        <v>446</v>
      </c>
      <c r="D68" s="340" t="s">
        <v>357</v>
      </c>
      <c r="E68" s="341"/>
      <c r="F68" s="341"/>
      <c r="G68" s="342"/>
      <c r="H68" s="343"/>
      <c r="I68" s="345"/>
      <c r="J68" s="341"/>
    </row>
    <row r="69" spans="2:10">
      <c r="B69" s="419" t="s">
        <v>197</v>
      </c>
      <c r="C69" s="266" t="s">
        <v>446</v>
      </c>
      <c r="D69" s="340" t="s">
        <v>357</v>
      </c>
      <c r="E69" s="341"/>
      <c r="F69" s="341"/>
      <c r="G69" s="342"/>
      <c r="H69" s="343"/>
      <c r="I69" s="345"/>
      <c r="J69" s="341"/>
    </row>
    <row r="70" spans="2:10">
      <c r="B70" s="419" t="s">
        <v>197</v>
      </c>
      <c r="C70" s="267" t="s">
        <v>315</v>
      </c>
      <c r="D70" s="196" t="s">
        <v>246</v>
      </c>
      <c r="E70" s="198">
        <v>0.16700000000000001</v>
      </c>
      <c r="F70" s="198" t="s">
        <v>206</v>
      </c>
      <c r="G70" s="200">
        <v>0.6</v>
      </c>
      <c r="H70" s="202">
        <v>43357</v>
      </c>
      <c r="I70" s="203">
        <v>43070</v>
      </c>
      <c r="J70" s="198" t="s">
        <v>416</v>
      </c>
    </row>
    <row r="71" spans="2:10">
      <c r="B71" s="419" t="s">
        <v>197</v>
      </c>
      <c r="C71" s="267" t="s">
        <v>315</v>
      </c>
      <c r="D71" s="196" t="s">
        <v>247</v>
      </c>
      <c r="E71" s="198">
        <v>0.182</v>
      </c>
      <c r="F71" s="198" t="s">
        <v>206</v>
      </c>
      <c r="G71" s="200">
        <v>0.6</v>
      </c>
      <c r="H71" s="202">
        <v>43357</v>
      </c>
      <c r="I71" s="203">
        <v>43070</v>
      </c>
      <c r="J71" s="198" t="s">
        <v>416</v>
      </c>
    </row>
    <row r="72" spans="2:10">
      <c r="B72" s="419" t="s">
        <v>197</v>
      </c>
      <c r="C72" s="267" t="s">
        <v>315</v>
      </c>
      <c r="D72" s="196" t="s">
        <v>248</v>
      </c>
      <c r="E72" s="198">
        <v>0.154</v>
      </c>
      <c r="F72" s="198" t="s">
        <v>206</v>
      </c>
      <c r="G72" s="200">
        <v>0.6</v>
      </c>
      <c r="H72" s="202">
        <v>43357</v>
      </c>
      <c r="I72" s="203">
        <v>43070</v>
      </c>
      <c r="J72" s="198" t="s">
        <v>416</v>
      </c>
    </row>
    <row r="73" spans="2:10">
      <c r="B73" s="419" t="s">
        <v>197</v>
      </c>
      <c r="C73" s="267" t="s">
        <v>315</v>
      </c>
      <c r="D73" s="196" t="s">
        <v>359</v>
      </c>
      <c r="E73" s="198">
        <v>5.7000000000000002E-3</v>
      </c>
      <c r="F73" s="198" t="s">
        <v>206</v>
      </c>
      <c r="G73" s="200">
        <v>0.2</v>
      </c>
      <c r="H73" s="202">
        <v>43375</v>
      </c>
      <c r="I73" s="203">
        <v>43070</v>
      </c>
      <c r="J73" s="198" t="s">
        <v>416</v>
      </c>
    </row>
    <row r="74" spans="2:10">
      <c r="B74" s="419" t="s">
        <v>197</v>
      </c>
      <c r="C74" s="267" t="s">
        <v>315</v>
      </c>
      <c r="D74" s="196" t="s">
        <v>360</v>
      </c>
      <c r="E74" s="198">
        <v>5.7000000000000002E-3</v>
      </c>
      <c r="F74" s="198" t="s">
        <v>206</v>
      </c>
      <c r="G74" s="200">
        <v>0.2</v>
      </c>
      <c r="H74" s="202">
        <v>43375</v>
      </c>
      <c r="I74" s="203">
        <v>43070</v>
      </c>
      <c r="J74" s="198" t="s">
        <v>416</v>
      </c>
    </row>
    <row r="75" spans="2:10">
      <c r="B75" s="419" t="s">
        <v>197</v>
      </c>
      <c r="C75" s="267" t="s">
        <v>315</v>
      </c>
      <c r="D75" s="196" t="s">
        <v>361</v>
      </c>
      <c r="E75" s="198">
        <v>6.0000000000000001E-3</v>
      </c>
      <c r="F75" s="198" t="s">
        <v>206</v>
      </c>
      <c r="G75" s="200">
        <v>0.2</v>
      </c>
      <c r="H75" s="202">
        <v>43375</v>
      </c>
      <c r="I75" s="203">
        <v>43070</v>
      </c>
      <c r="J75" s="198" t="s">
        <v>416</v>
      </c>
    </row>
    <row r="76" spans="2:10">
      <c r="B76" s="419" t="s">
        <v>197</v>
      </c>
      <c r="C76" s="267" t="s">
        <v>315</v>
      </c>
      <c r="D76" s="340" t="s">
        <v>357</v>
      </c>
      <c r="E76" s="341"/>
      <c r="F76" s="341"/>
      <c r="G76" s="342"/>
      <c r="H76" s="343"/>
      <c r="I76" s="345"/>
      <c r="J76" s="341"/>
    </row>
    <row r="77" spans="2:10">
      <c r="B77" s="419" t="s">
        <v>197</v>
      </c>
      <c r="C77" s="267" t="s">
        <v>315</v>
      </c>
      <c r="D77" s="340" t="s">
        <v>357</v>
      </c>
      <c r="E77" s="341"/>
      <c r="F77" s="341"/>
      <c r="G77" s="342"/>
      <c r="H77" s="343"/>
      <c r="I77" s="345"/>
      <c r="J77" s="341"/>
    </row>
    <row r="78" spans="2:10">
      <c r="B78" s="419" t="s">
        <v>197</v>
      </c>
      <c r="C78" s="267" t="s">
        <v>315</v>
      </c>
      <c r="D78" s="340" t="s">
        <v>357</v>
      </c>
      <c r="E78" s="341"/>
      <c r="F78" s="341"/>
      <c r="G78" s="342"/>
      <c r="H78" s="343"/>
      <c r="I78" s="345"/>
      <c r="J78" s="341"/>
    </row>
    <row r="79" spans="2:10">
      <c r="B79" s="419" t="s">
        <v>197</v>
      </c>
      <c r="C79" s="267" t="s">
        <v>315</v>
      </c>
      <c r="D79" s="340" t="s">
        <v>357</v>
      </c>
      <c r="E79" s="341"/>
      <c r="F79" s="341"/>
      <c r="G79" s="342"/>
      <c r="H79" s="343"/>
      <c r="I79" s="345"/>
      <c r="J79" s="341"/>
    </row>
    <row r="80" spans="2:10">
      <c r="B80" s="419" t="s">
        <v>197</v>
      </c>
      <c r="C80" s="267" t="s">
        <v>315</v>
      </c>
      <c r="D80" s="340" t="s">
        <v>357</v>
      </c>
      <c r="E80" s="341"/>
      <c r="F80" s="341"/>
      <c r="G80" s="342"/>
      <c r="H80" s="343"/>
      <c r="I80" s="345"/>
      <c r="J80" s="341"/>
    </row>
    <row r="81" spans="2:10">
      <c r="B81" s="419" t="s">
        <v>197</v>
      </c>
      <c r="C81" s="268" t="s">
        <v>312</v>
      </c>
      <c r="D81" s="196" t="s">
        <v>249</v>
      </c>
      <c r="E81" s="198">
        <v>0.20399999999999999</v>
      </c>
      <c r="F81" s="198" t="s">
        <v>205</v>
      </c>
      <c r="G81" s="200">
        <v>0.6</v>
      </c>
      <c r="H81" s="202">
        <v>43357</v>
      </c>
      <c r="I81" s="203">
        <v>43435</v>
      </c>
      <c r="J81" s="198" t="s">
        <v>416</v>
      </c>
    </row>
    <row r="82" spans="2:10">
      <c r="B82" s="419" t="s">
        <v>197</v>
      </c>
      <c r="C82" s="268" t="s">
        <v>312</v>
      </c>
      <c r="D82" s="196" t="s">
        <v>250</v>
      </c>
      <c r="E82" s="198">
        <v>0.23799999999999999</v>
      </c>
      <c r="F82" s="198" t="s">
        <v>205</v>
      </c>
      <c r="G82" s="200">
        <v>0.6</v>
      </c>
      <c r="H82" s="202">
        <v>43357</v>
      </c>
      <c r="I82" s="203">
        <v>43435</v>
      </c>
      <c r="J82" s="198" t="s">
        <v>416</v>
      </c>
    </row>
    <row r="83" spans="2:10">
      <c r="B83" s="419" t="s">
        <v>197</v>
      </c>
      <c r="C83" s="268" t="s">
        <v>312</v>
      </c>
      <c r="D83" s="340" t="s">
        <v>357</v>
      </c>
      <c r="E83" s="341"/>
      <c r="F83" s="341"/>
      <c r="G83" s="342"/>
      <c r="H83" s="343"/>
      <c r="I83" s="345"/>
      <c r="J83" s="341"/>
    </row>
    <row r="84" spans="2:10">
      <c r="B84" s="419" t="s">
        <v>197</v>
      </c>
      <c r="C84" s="268" t="s">
        <v>312</v>
      </c>
      <c r="D84" s="340" t="s">
        <v>357</v>
      </c>
      <c r="E84" s="341"/>
      <c r="F84" s="341"/>
      <c r="G84" s="342"/>
      <c r="H84" s="343"/>
      <c r="I84" s="345"/>
      <c r="J84" s="341"/>
    </row>
    <row r="85" spans="2:10">
      <c r="B85" s="419" t="s">
        <v>197</v>
      </c>
      <c r="C85" s="268" t="s">
        <v>312</v>
      </c>
      <c r="D85" s="340" t="s">
        <v>357</v>
      </c>
      <c r="E85" s="341"/>
      <c r="F85" s="341"/>
      <c r="G85" s="342"/>
      <c r="H85" s="343"/>
      <c r="I85" s="345"/>
      <c r="J85" s="341"/>
    </row>
    <row r="86" spans="2:10">
      <c r="B86" s="419" t="s">
        <v>197</v>
      </c>
      <c r="C86" s="268" t="s">
        <v>312</v>
      </c>
      <c r="D86" s="340" t="s">
        <v>357</v>
      </c>
      <c r="E86" s="341"/>
      <c r="F86" s="341"/>
      <c r="G86" s="342"/>
      <c r="H86" s="343"/>
      <c r="I86" s="345"/>
      <c r="J86" s="341"/>
    </row>
    <row r="87" spans="2:10">
      <c r="B87" s="419" t="s">
        <v>197</v>
      </c>
      <c r="C87" s="268" t="s">
        <v>312</v>
      </c>
      <c r="D87" s="340" t="s">
        <v>357</v>
      </c>
      <c r="E87" s="341"/>
      <c r="F87" s="341"/>
      <c r="G87" s="342"/>
      <c r="H87" s="343"/>
      <c r="I87" s="345"/>
      <c r="J87" s="341"/>
    </row>
    <row r="88" spans="2:10">
      <c r="B88" s="419" t="s">
        <v>197</v>
      </c>
      <c r="C88" s="269" t="s">
        <v>313</v>
      </c>
      <c r="D88" s="133" t="s">
        <v>9</v>
      </c>
      <c r="E88" s="205">
        <v>3.6900000000000001E-3</v>
      </c>
      <c r="F88" s="198" t="s">
        <v>206</v>
      </c>
      <c r="G88" s="200">
        <v>0.6</v>
      </c>
      <c r="H88" s="202">
        <v>43181</v>
      </c>
      <c r="I88" s="203">
        <v>43070</v>
      </c>
      <c r="J88" s="198" t="s">
        <v>416</v>
      </c>
    </row>
    <row r="89" spans="2:10">
      <c r="B89" s="419" t="s">
        <v>197</v>
      </c>
      <c r="C89" s="269" t="s">
        <v>313</v>
      </c>
      <c r="D89" s="133" t="s">
        <v>29</v>
      </c>
      <c r="E89" s="205">
        <v>5.5999999999999999E-3</v>
      </c>
      <c r="F89" s="198" t="s">
        <v>206</v>
      </c>
      <c r="G89" s="200">
        <v>0.6</v>
      </c>
      <c r="H89" s="202">
        <v>43181</v>
      </c>
      <c r="I89" s="203">
        <v>43070</v>
      </c>
      <c r="J89" s="198" t="s">
        <v>416</v>
      </c>
    </row>
    <row r="90" spans="2:10">
      <c r="B90" s="419" t="s">
        <v>197</v>
      </c>
      <c r="C90" s="269" t="s">
        <v>313</v>
      </c>
      <c r="D90" s="133" t="s">
        <v>30</v>
      </c>
      <c r="E90" s="205">
        <v>8.9099999999999995E-3</v>
      </c>
      <c r="F90" s="198" t="s">
        <v>206</v>
      </c>
      <c r="G90" s="200">
        <v>0.6</v>
      </c>
      <c r="H90" s="202">
        <v>43181</v>
      </c>
      <c r="I90" s="203">
        <v>43070</v>
      </c>
      <c r="J90" s="198" t="s">
        <v>416</v>
      </c>
    </row>
    <row r="91" spans="2:10">
      <c r="B91" s="419" t="s">
        <v>197</v>
      </c>
      <c r="C91" s="269" t="s">
        <v>313</v>
      </c>
      <c r="D91" s="133" t="s">
        <v>48</v>
      </c>
      <c r="E91" s="198">
        <v>6.6799999999999998E-2</v>
      </c>
      <c r="F91" s="198" t="s">
        <v>206</v>
      </c>
      <c r="G91" s="200">
        <v>0.2</v>
      </c>
      <c r="H91" s="202">
        <v>43181</v>
      </c>
      <c r="I91" s="203">
        <v>43070</v>
      </c>
      <c r="J91" s="198" t="s">
        <v>416</v>
      </c>
    </row>
    <row r="92" spans="2:10">
      <c r="B92" s="419" t="s">
        <v>197</v>
      </c>
      <c r="C92" s="269" t="s">
        <v>313</v>
      </c>
      <c r="D92" s="133" t="s">
        <v>49</v>
      </c>
      <c r="E92" s="198">
        <v>4.8399999999999999E-2</v>
      </c>
      <c r="F92" s="198" t="s">
        <v>206</v>
      </c>
      <c r="G92" s="200">
        <v>0.2</v>
      </c>
      <c r="H92" s="202">
        <v>43181</v>
      </c>
      <c r="I92" s="203">
        <v>43070</v>
      </c>
      <c r="J92" s="198" t="s">
        <v>416</v>
      </c>
    </row>
    <row r="93" spans="2:10">
      <c r="B93" s="419" t="s">
        <v>197</v>
      </c>
      <c r="C93" s="269" t="s">
        <v>313</v>
      </c>
      <c r="D93" s="133" t="s">
        <v>17</v>
      </c>
      <c r="E93" s="198">
        <v>5.1400000000000001E-2</v>
      </c>
      <c r="F93" s="198" t="s">
        <v>206</v>
      </c>
      <c r="G93" s="200">
        <v>0.2</v>
      </c>
      <c r="H93" s="202">
        <v>43181</v>
      </c>
      <c r="I93" s="203">
        <v>43070</v>
      </c>
      <c r="J93" s="198" t="s">
        <v>416</v>
      </c>
    </row>
    <row r="94" spans="2:10">
      <c r="B94" s="419" t="s">
        <v>197</v>
      </c>
      <c r="C94" s="269" t="s">
        <v>313</v>
      </c>
      <c r="D94" s="133" t="s">
        <v>6</v>
      </c>
      <c r="E94" s="198">
        <v>3.1699999999999999E-2</v>
      </c>
      <c r="F94" s="198" t="s">
        <v>206</v>
      </c>
      <c r="G94" s="200">
        <v>0.2</v>
      </c>
      <c r="H94" s="202">
        <v>43181</v>
      </c>
      <c r="I94" s="203">
        <v>43070</v>
      </c>
      <c r="J94" s="198" t="s">
        <v>416</v>
      </c>
    </row>
    <row r="95" spans="2:10">
      <c r="B95" s="419" t="s">
        <v>197</v>
      </c>
      <c r="C95" s="269" t="s">
        <v>313</v>
      </c>
      <c r="D95" s="133" t="s">
        <v>22</v>
      </c>
      <c r="E95" s="198">
        <v>3.9699999999999999E-2</v>
      </c>
      <c r="F95" s="198" t="s">
        <v>206</v>
      </c>
      <c r="G95" s="200">
        <v>0.2</v>
      </c>
      <c r="H95" s="202">
        <v>43181</v>
      </c>
      <c r="I95" s="203">
        <v>43070</v>
      </c>
      <c r="J95" s="198" t="s">
        <v>416</v>
      </c>
    </row>
    <row r="96" spans="2:10">
      <c r="B96" s="419" t="s">
        <v>197</v>
      </c>
      <c r="C96" s="269" t="s">
        <v>313</v>
      </c>
      <c r="D96" s="133" t="s">
        <v>47</v>
      </c>
      <c r="E96" s="198">
        <v>7.4999999999999997E-2</v>
      </c>
      <c r="F96" s="198" t="s">
        <v>206</v>
      </c>
      <c r="G96" s="200">
        <v>0.2</v>
      </c>
      <c r="H96" s="202">
        <v>43181</v>
      </c>
      <c r="I96" s="203">
        <v>43070</v>
      </c>
      <c r="J96" s="198" t="s">
        <v>416</v>
      </c>
    </row>
    <row r="97" spans="2:10">
      <c r="B97" s="419" t="s">
        <v>197</v>
      </c>
      <c r="C97" s="269" t="s">
        <v>313</v>
      </c>
      <c r="D97" s="133" t="s">
        <v>0</v>
      </c>
      <c r="E97" s="205">
        <v>3.7399999999999998E-3</v>
      </c>
      <c r="F97" s="198" t="s">
        <v>206</v>
      </c>
      <c r="G97" s="200">
        <v>0.2</v>
      </c>
      <c r="H97" s="202">
        <v>43181</v>
      </c>
      <c r="I97" s="203">
        <v>43070</v>
      </c>
      <c r="J97" s="198" t="s">
        <v>416</v>
      </c>
    </row>
    <row r="98" spans="2:10">
      <c r="B98" s="419" t="s">
        <v>197</v>
      </c>
      <c r="C98" s="269" t="s">
        <v>313</v>
      </c>
      <c r="D98" s="340" t="s">
        <v>357</v>
      </c>
      <c r="E98" s="344"/>
      <c r="F98" s="341"/>
      <c r="G98" s="342"/>
      <c r="H98" s="343"/>
      <c r="I98" s="345"/>
      <c r="J98" s="341"/>
    </row>
    <row r="99" spans="2:10">
      <c r="B99" s="419" t="s">
        <v>197</v>
      </c>
      <c r="C99" s="269" t="s">
        <v>313</v>
      </c>
      <c r="D99" s="340" t="s">
        <v>357</v>
      </c>
      <c r="E99" s="344"/>
      <c r="F99" s="341"/>
      <c r="G99" s="342"/>
      <c r="H99" s="343"/>
      <c r="I99" s="345"/>
      <c r="J99" s="341"/>
    </row>
    <row r="100" spans="2:10">
      <c r="B100" s="419" t="s">
        <v>197</v>
      </c>
      <c r="C100" s="269" t="s">
        <v>313</v>
      </c>
      <c r="D100" s="340" t="s">
        <v>357</v>
      </c>
      <c r="E100" s="344"/>
      <c r="F100" s="341"/>
      <c r="G100" s="342"/>
      <c r="H100" s="343"/>
      <c r="I100" s="345"/>
      <c r="J100" s="341"/>
    </row>
    <row r="101" spans="2:10">
      <c r="B101" s="419" t="s">
        <v>197</v>
      </c>
      <c r="C101" s="269" t="s">
        <v>313</v>
      </c>
      <c r="D101" s="340" t="s">
        <v>357</v>
      </c>
      <c r="E101" s="344"/>
      <c r="F101" s="341"/>
      <c r="G101" s="342"/>
      <c r="H101" s="343"/>
      <c r="I101" s="345"/>
      <c r="J101" s="341"/>
    </row>
    <row r="102" spans="2:10">
      <c r="B102" s="419" t="s">
        <v>197</v>
      </c>
      <c r="C102" s="269" t="s">
        <v>313</v>
      </c>
      <c r="D102" s="340" t="s">
        <v>357</v>
      </c>
      <c r="E102" s="344"/>
      <c r="F102" s="341"/>
      <c r="G102" s="342"/>
      <c r="H102" s="343"/>
      <c r="I102" s="345"/>
      <c r="J102" s="341"/>
    </row>
    <row r="103" spans="2:10">
      <c r="B103" s="419" t="s">
        <v>197</v>
      </c>
      <c r="C103" s="270" t="s">
        <v>314</v>
      </c>
      <c r="D103" s="196" t="s">
        <v>440</v>
      </c>
      <c r="E103" s="601">
        <f>(80/1000)*(44/12)</f>
        <v>0.29333333333333333</v>
      </c>
      <c r="F103" s="198" t="s">
        <v>206</v>
      </c>
      <c r="G103" s="200">
        <v>0.2</v>
      </c>
      <c r="H103" s="202">
        <v>39083</v>
      </c>
      <c r="I103" s="203">
        <v>39083</v>
      </c>
      <c r="J103" s="198" t="s">
        <v>445</v>
      </c>
    </row>
    <row r="104" spans="2:10">
      <c r="B104" s="419" t="s">
        <v>197</v>
      </c>
      <c r="C104" s="270" t="s">
        <v>314</v>
      </c>
      <c r="D104" s="196" t="s">
        <v>441</v>
      </c>
      <c r="E104" s="601">
        <f>(180/1000)*(44/12)</f>
        <v>0.65999999999999992</v>
      </c>
      <c r="F104" s="198" t="s">
        <v>206</v>
      </c>
      <c r="G104" s="200">
        <v>0.2</v>
      </c>
      <c r="H104" s="202">
        <v>39083</v>
      </c>
      <c r="I104" s="203">
        <v>39083</v>
      </c>
      <c r="J104" s="198" t="s">
        <v>445</v>
      </c>
    </row>
    <row r="105" spans="2:10">
      <c r="B105" s="419" t="s">
        <v>197</v>
      </c>
      <c r="C105" s="270" t="s">
        <v>314</v>
      </c>
      <c r="D105" s="196" t="s">
        <v>442</v>
      </c>
      <c r="E105" s="601">
        <f>(60/1000)*(44/12)</f>
        <v>0.21999999999999997</v>
      </c>
      <c r="F105" s="198" t="s">
        <v>206</v>
      </c>
      <c r="G105" s="200">
        <v>0.2</v>
      </c>
      <c r="H105" s="202">
        <v>39083</v>
      </c>
      <c r="I105" s="203">
        <v>39083</v>
      </c>
      <c r="J105" s="198" t="s">
        <v>445</v>
      </c>
    </row>
    <row r="106" spans="2:10">
      <c r="B106" s="419" t="s">
        <v>197</v>
      </c>
      <c r="C106" s="270" t="s">
        <v>314</v>
      </c>
      <c r="D106" s="196" t="s">
        <v>443</v>
      </c>
      <c r="E106" s="601">
        <f>(140/1000)*(44/12)</f>
        <v>0.51333333333333331</v>
      </c>
      <c r="F106" s="198" t="s">
        <v>206</v>
      </c>
      <c r="G106" s="200">
        <v>0.2</v>
      </c>
      <c r="H106" s="202">
        <v>39083</v>
      </c>
      <c r="I106" s="203">
        <v>39083</v>
      </c>
      <c r="J106" s="198" t="s">
        <v>445</v>
      </c>
    </row>
    <row r="107" spans="2:10">
      <c r="B107" s="419" t="s">
        <v>197</v>
      </c>
      <c r="C107" s="270" t="s">
        <v>314</v>
      </c>
      <c r="D107" s="196" t="s">
        <v>444</v>
      </c>
      <c r="E107" s="601">
        <f>(210/1000)*(44/12)</f>
        <v>0.76999999999999991</v>
      </c>
      <c r="F107" s="198" t="s">
        <v>206</v>
      </c>
      <c r="G107" s="200">
        <v>0.2</v>
      </c>
      <c r="H107" s="202">
        <v>39083</v>
      </c>
      <c r="I107" s="203">
        <v>39083</v>
      </c>
      <c r="J107" s="198" t="s">
        <v>445</v>
      </c>
    </row>
    <row r="108" spans="2:10">
      <c r="B108" s="419" t="s">
        <v>197</v>
      </c>
      <c r="C108" s="270" t="s">
        <v>314</v>
      </c>
      <c r="D108" s="340" t="s">
        <v>357</v>
      </c>
      <c r="E108" s="341"/>
      <c r="F108" s="341"/>
      <c r="G108" s="342"/>
      <c r="H108" s="343"/>
      <c r="I108" s="345"/>
      <c r="J108" s="341"/>
    </row>
    <row r="109" spans="2:10">
      <c r="B109" s="419" t="s">
        <v>197</v>
      </c>
      <c r="C109" s="270" t="s">
        <v>314</v>
      </c>
      <c r="D109" s="340" t="s">
        <v>357</v>
      </c>
      <c r="E109" s="341"/>
      <c r="F109" s="341"/>
      <c r="G109" s="342"/>
      <c r="H109" s="343"/>
      <c r="I109" s="345"/>
      <c r="J109" s="341"/>
    </row>
    <row r="110" spans="2:10">
      <c r="B110" s="430" t="s">
        <v>305</v>
      </c>
      <c r="C110" s="271" t="s">
        <v>82</v>
      </c>
      <c r="D110" s="17" t="s">
        <v>171</v>
      </c>
      <c r="E110" s="198">
        <v>3190</v>
      </c>
      <c r="F110" s="198" t="s">
        <v>207</v>
      </c>
      <c r="G110" s="200">
        <v>0.1</v>
      </c>
      <c r="H110" s="202">
        <v>43181</v>
      </c>
      <c r="I110" s="203">
        <v>43435</v>
      </c>
      <c r="J110" s="198" t="s">
        <v>416</v>
      </c>
    </row>
    <row r="111" spans="2:10">
      <c r="B111" s="430" t="s">
        <v>305</v>
      </c>
      <c r="C111" s="271" t="s">
        <v>82</v>
      </c>
      <c r="D111" s="17" t="s">
        <v>172</v>
      </c>
      <c r="E111" s="198">
        <v>1100</v>
      </c>
      <c r="F111" s="198" t="s">
        <v>207</v>
      </c>
      <c r="G111" s="200">
        <v>0.1</v>
      </c>
      <c r="H111" s="202">
        <v>43181</v>
      </c>
      <c r="I111" s="203">
        <v>43435</v>
      </c>
      <c r="J111" s="198" t="s">
        <v>416</v>
      </c>
    </row>
    <row r="112" spans="2:10">
      <c r="B112" s="430" t="s">
        <v>305</v>
      </c>
      <c r="C112" s="271" t="s">
        <v>82</v>
      </c>
      <c r="D112" s="17" t="s">
        <v>173</v>
      </c>
      <c r="E112" s="198">
        <v>9827</v>
      </c>
      <c r="F112" s="198" t="s">
        <v>207</v>
      </c>
      <c r="G112" s="200">
        <v>0.3</v>
      </c>
      <c r="H112" s="202">
        <v>43181</v>
      </c>
      <c r="I112" s="203">
        <v>43435</v>
      </c>
      <c r="J112" s="198" t="s">
        <v>416</v>
      </c>
    </row>
    <row r="113" spans="2:10">
      <c r="B113" s="430" t="s">
        <v>305</v>
      </c>
      <c r="C113" s="271" t="s">
        <v>82</v>
      </c>
      <c r="D113" s="17" t="s">
        <v>174</v>
      </c>
      <c r="E113" s="198">
        <v>513</v>
      </c>
      <c r="F113" s="198" t="s">
        <v>207</v>
      </c>
      <c r="G113" s="200">
        <v>0.3</v>
      </c>
      <c r="H113" s="202">
        <v>43181</v>
      </c>
      <c r="I113" s="203">
        <v>43435</v>
      </c>
      <c r="J113" s="198" t="s">
        <v>416</v>
      </c>
    </row>
    <row r="114" spans="2:10">
      <c r="B114" s="430" t="s">
        <v>305</v>
      </c>
      <c r="C114" s="271" t="s">
        <v>82</v>
      </c>
      <c r="D114" s="17" t="s">
        <v>208</v>
      </c>
      <c r="E114" s="198">
        <v>2933</v>
      </c>
      <c r="F114" s="198" t="s">
        <v>207</v>
      </c>
      <c r="G114" s="200">
        <v>0.5</v>
      </c>
      <c r="H114" s="202">
        <v>43181</v>
      </c>
      <c r="I114" s="203">
        <v>43435</v>
      </c>
      <c r="J114" s="198" t="s">
        <v>416</v>
      </c>
    </row>
    <row r="115" spans="2:10">
      <c r="B115" s="430" t="s">
        <v>305</v>
      </c>
      <c r="C115" s="271" t="s">
        <v>82</v>
      </c>
      <c r="D115" s="17" t="s">
        <v>175</v>
      </c>
      <c r="E115" s="198">
        <v>2933</v>
      </c>
      <c r="F115" s="198" t="s">
        <v>207</v>
      </c>
      <c r="G115" s="200">
        <v>0.3</v>
      </c>
      <c r="H115" s="202">
        <v>43181</v>
      </c>
      <c r="I115" s="203">
        <v>43435</v>
      </c>
      <c r="J115" s="198" t="s">
        <v>416</v>
      </c>
    </row>
    <row r="116" spans="2:10">
      <c r="B116" s="430" t="s">
        <v>305</v>
      </c>
      <c r="C116" s="271" t="s">
        <v>82</v>
      </c>
      <c r="D116" s="17" t="s">
        <v>176</v>
      </c>
      <c r="E116" s="198">
        <v>9167</v>
      </c>
      <c r="F116" s="198" t="s">
        <v>207</v>
      </c>
      <c r="G116" s="200">
        <v>0.2</v>
      </c>
      <c r="H116" s="202">
        <v>43181</v>
      </c>
      <c r="I116" s="203">
        <v>43435</v>
      </c>
      <c r="J116" s="198" t="s">
        <v>416</v>
      </c>
    </row>
    <row r="117" spans="2:10">
      <c r="B117" s="430" t="s">
        <v>305</v>
      </c>
      <c r="C117" s="271" t="s">
        <v>82</v>
      </c>
      <c r="D117" s="17" t="s">
        <v>177</v>
      </c>
      <c r="E117" s="198">
        <v>2090</v>
      </c>
      <c r="F117" s="198" t="s">
        <v>207</v>
      </c>
      <c r="G117" s="200">
        <v>0.3</v>
      </c>
      <c r="H117" s="202">
        <v>43181</v>
      </c>
      <c r="I117" s="203">
        <v>43435</v>
      </c>
      <c r="J117" s="198" t="s">
        <v>416</v>
      </c>
    </row>
    <row r="118" spans="2:10">
      <c r="B118" s="430" t="s">
        <v>305</v>
      </c>
      <c r="C118" s="271" t="s">
        <v>82</v>
      </c>
      <c r="D118" s="340" t="s">
        <v>357</v>
      </c>
      <c r="E118" s="341"/>
      <c r="F118" s="341"/>
      <c r="G118" s="342"/>
      <c r="H118" s="343"/>
      <c r="I118" s="345"/>
      <c r="J118" s="341"/>
    </row>
    <row r="119" spans="2:10">
      <c r="B119" s="430" t="s">
        <v>305</v>
      </c>
      <c r="C119" s="271" t="s">
        <v>82</v>
      </c>
      <c r="D119" s="340" t="s">
        <v>357</v>
      </c>
      <c r="E119" s="341"/>
      <c r="F119" s="341"/>
      <c r="G119" s="342"/>
      <c r="H119" s="343"/>
      <c r="I119" s="345"/>
      <c r="J119" s="341"/>
    </row>
    <row r="120" spans="2:10">
      <c r="B120" s="430" t="s">
        <v>305</v>
      </c>
      <c r="C120" s="271" t="s">
        <v>82</v>
      </c>
      <c r="D120" s="340" t="s">
        <v>357</v>
      </c>
      <c r="E120" s="341"/>
      <c r="F120" s="341"/>
      <c r="G120" s="342"/>
      <c r="H120" s="343"/>
      <c r="I120" s="345"/>
      <c r="J120" s="341"/>
    </row>
    <row r="121" spans="2:10">
      <c r="B121" s="430" t="s">
        <v>305</v>
      </c>
      <c r="C121" s="271" t="s">
        <v>82</v>
      </c>
      <c r="D121" s="340" t="s">
        <v>357</v>
      </c>
      <c r="E121" s="341"/>
      <c r="F121" s="341"/>
      <c r="G121" s="342"/>
      <c r="H121" s="343"/>
      <c r="I121" s="345"/>
      <c r="J121" s="341"/>
    </row>
    <row r="122" spans="2:10">
      <c r="B122" s="430" t="s">
        <v>305</v>
      </c>
      <c r="C122" s="271" t="s">
        <v>82</v>
      </c>
      <c r="D122" s="340" t="s">
        <v>357</v>
      </c>
      <c r="E122" s="341"/>
      <c r="F122" s="341"/>
      <c r="G122" s="342"/>
      <c r="H122" s="343"/>
      <c r="I122" s="345"/>
      <c r="J122" s="341"/>
    </row>
    <row r="123" spans="2:10">
      <c r="B123" s="430" t="s">
        <v>305</v>
      </c>
      <c r="C123" s="272" t="s">
        <v>257</v>
      </c>
      <c r="D123" s="17" t="s">
        <v>209</v>
      </c>
      <c r="E123" s="198">
        <v>2383</v>
      </c>
      <c r="F123" s="198" t="s">
        <v>207</v>
      </c>
      <c r="G123" s="200">
        <v>0.2</v>
      </c>
      <c r="H123" s="202">
        <v>43181</v>
      </c>
      <c r="I123" s="203">
        <v>43070</v>
      </c>
      <c r="J123" s="198" t="s">
        <v>416</v>
      </c>
    </row>
    <row r="124" spans="2:10">
      <c r="B124" s="430" t="s">
        <v>305</v>
      </c>
      <c r="C124" s="272" t="s">
        <v>257</v>
      </c>
      <c r="D124" s="340" t="s">
        <v>357</v>
      </c>
      <c r="E124" s="341"/>
      <c r="F124" s="341"/>
      <c r="G124" s="342"/>
      <c r="H124" s="343"/>
      <c r="I124" s="345"/>
      <c r="J124" s="341"/>
    </row>
    <row r="125" spans="2:10">
      <c r="B125" s="430" t="s">
        <v>305</v>
      </c>
      <c r="C125" s="272" t="s">
        <v>257</v>
      </c>
      <c r="D125" s="340" t="s">
        <v>357</v>
      </c>
      <c r="E125" s="341"/>
      <c r="F125" s="341"/>
      <c r="G125" s="342"/>
      <c r="H125" s="343"/>
      <c r="I125" s="345"/>
      <c r="J125" s="341"/>
    </row>
    <row r="126" spans="2:10">
      <c r="B126" s="430" t="s">
        <v>305</v>
      </c>
      <c r="C126" s="272" t="s">
        <v>257</v>
      </c>
      <c r="D126" s="340" t="s">
        <v>357</v>
      </c>
      <c r="E126" s="341"/>
      <c r="F126" s="341"/>
      <c r="G126" s="342"/>
      <c r="H126" s="343"/>
      <c r="I126" s="345"/>
      <c r="J126" s="341"/>
    </row>
    <row r="127" spans="2:10">
      <c r="B127" s="430" t="s">
        <v>305</v>
      </c>
      <c r="C127" s="272" t="s">
        <v>257</v>
      </c>
      <c r="D127" s="340" t="s">
        <v>357</v>
      </c>
      <c r="E127" s="341"/>
      <c r="F127" s="341"/>
      <c r="G127" s="342"/>
      <c r="H127" s="343"/>
      <c r="I127" s="345"/>
      <c r="J127" s="341"/>
    </row>
    <row r="128" spans="2:10">
      <c r="B128" s="430" t="s">
        <v>305</v>
      </c>
      <c r="C128" s="272" t="s">
        <v>257</v>
      </c>
      <c r="D128" s="340" t="s">
        <v>357</v>
      </c>
      <c r="E128" s="341"/>
      <c r="F128" s="341"/>
      <c r="G128" s="342"/>
      <c r="H128" s="343"/>
      <c r="I128" s="345"/>
      <c r="J128" s="341"/>
    </row>
    <row r="129" spans="2:10">
      <c r="B129" s="430" t="s">
        <v>305</v>
      </c>
      <c r="C129" s="273" t="s">
        <v>258</v>
      </c>
      <c r="D129" s="53" t="s">
        <v>210</v>
      </c>
      <c r="E129" s="198">
        <v>813</v>
      </c>
      <c r="F129" s="198" t="s">
        <v>207</v>
      </c>
      <c r="G129" s="200">
        <v>1</v>
      </c>
      <c r="H129" s="202">
        <v>43181</v>
      </c>
      <c r="I129" s="203">
        <v>43070</v>
      </c>
      <c r="J129" s="198" t="s">
        <v>416</v>
      </c>
    </row>
    <row r="130" spans="2:10">
      <c r="B130" s="430" t="s">
        <v>305</v>
      </c>
      <c r="C130" s="273" t="s">
        <v>258</v>
      </c>
      <c r="D130" s="340" t="s">
        <v>357</v>
      </c>
      <c r="E130" s="341"/>
      <c r="F130" s="341"/>
      <c r="G130" s="342"/>
      <c r="H130" s="343"/>
      <c r="I130" s="345"/>
      <c r="J130" s="341"/>
    </row>
    <row r="131" spans="2:10">
      <c r="B131" s="430" t="s">
        <v>305</v>
      </c>
      <c r="C131" s="273" t="s">
        <v>258</v>
      </c>
      <c r="D131" s="340" t="s">
        <v>357</v>
      </c>
      <c r="E131" s="341"/>
      <c r="F131" s="341"/>
      <c r="G131" s="342"/>
      <c r="H131" s="343"/>
      <c r="I131" s="345"/>
      <c r="J131" s="341"/>
    </row>
    <row r="132" spans="2:10">
      <c r="B132" s="430" t="s">
        <v>305</v>
      </c>
      <c r="C132" s="273" t="s">
        <v>258</v>
      </c>
      <c r="D132" s="340" t="s">
        <v>357</v>
      </c>
      <c r="E132" s="341"/>
      <c r="F132" s="341"/>
      <c r="G132" s="342"/>
      <c r="H132" s="343"/>
      <c r="I132" s="345"/>
      <c r="J132" s="341"/>
    </row>
    <row r="133" spans="2:10">
      <c r="B133" s="430" t="s">
        <v>305</v>
      </c>
      <c r="C133" s="273" t="s">
        <v>258</v>
      </c>
      <c r="D133" s="340" t="s">
        <v>357</v>
      </c>
      <c r="E133" s="341"/>
      <c r="F133" s="341"/>
      <c r="G133" s="342"/>
      <c r="H133" s="343"/>
      <c r="I133" s="345"/>
      <c r="J133" s="341"/>
    </row>
    <row r="134" spans="2:10">
      <c r="B134" s="430" t="s">
        <v>305</v>
      </c>
      <c r="C134" s="273" t="s">
        <v>258</v>
      </c>
      <c r="D134" s="340" t="s">
        <v>357</v>
      </c>
      <c r="E134" s="341"/>
      <c r="F134" s="341"/>
      <c r="G134" s="342"/>
      <c r="H134" s="343"/>
      <c r="I134" s="345"/>
      <c r="J134" s="341"/>
    </row>
    <row r="135" spans="2:10">
      <c r="B135" s="430" t="s">
        <v>305</v>
      </c>
      <c r="C135" s="274" t="s">
        <v>259</v>
      </c>
      <c r="D135" s="53" t="s">
        <v>80</v>
      </c>
      <c r="E135" s="198">
        <v>1063</v>
      </c>
      <c r="F135" s="198" t="s">
        <v>207</v>
      </c>
      <c r="G135" s="200">
        <v>0.2</v>
      </c>
      <c r="H135" s="202">
        <v>43354</v>
      </c>
      <c r="I135" s="203">
        <v>43435</v>
      </c>
      <c r="J135" s="198" t="s">
        <v>416</v>
      </c>
    </row>
    <row r="136" spans="2:10">
      <c r="B136" s="430" t="s">
        <v>305</v>
      </c>
      <c r="C136" s="274" t="s">
        <v>259</v>
      </c>
      <c r="D136" s="53" t="s">
        <v>51</v>
      </c>
      <c r="E136" s="198">
        <f>0.919*1000</f>
        <v>919</v>
      </c>
      <c r="F136" s="198" t="s">
        <v>207</v>
      </c>
      <c r="G136" s="200">
        <v>1</v>
      </c>
      <c r="H136" s="202">
        <v>43354</v>
      </c>
      <c r="I136" s="203">
        <v>43435</v>
      </c>
      <c r="J136" s="198" t="s">
        <v>416</v>
      </c>
    </row>
    <row r="137" spans="2:10">
      <c r="B137" s="430" t="s">
        <v>305</v>
      </c>
      <c r="C137" s="274" t="s">
        <v>259</v>
      </c>
      <c r="D137" s="340" t="s">
        <v>357</v>
      </c>
      <c r="E137" s="341"/>
      <c r="F137" s="341"/>
      <c r="G137" s="342"/>
      <c r="H137" s="343"/>
      <c r="I137" s="345"/>
      <c r="J137" s="341"/>
    </row>
    <row r="138" spans="2:10">
      <c r="B138" s="430" t="s">
        <v>305</v>
      </c>
      <c r="C138" s="274" t="s">
        <v>259</v>
      </c>
      <c r="D138" s="340" t="s">
        <v>357</v>
      </c>
      <c r="E138" s="341"/>
      <c r="F138" s="341"/>
      <c r="G138" s="342"/>
      <c r="H138" s="343"/>
      <c r="I138" s="345"/>
      <c r="J138" s="341"/>
    </row>
    <row r="139" spans="2:10">
      <c r="B139" s="430" t="s">
        <v>305</v>
      </c>
      <c r="C139" s="274" t="s">
        <v>259</v>
      </c>
      <c r="D139" s="340" t="s">
        <v>357</v>
      </c>
      <c r="E139" s="341"/>
      <c r="F139" s="341"/>
      <c r="G139" s="342"/>
      <c r="H139" s="343"/>
      <c r="I139" s="345"/>
      <c r="J139" s="341"/>
    </row>
    <row r="140" spans="2:10">
      <c r="B140" s="430" t="s">
        <v>305</v>
      </c>
      <c r="C140" s="274" t="s">
        <v>259</v>
      </c>
      <c r="D140" s="340" t="s">
        <v>357</v>
      </c>
      <c r="E140" s="341"/>
      <c r="F140" s="341"/>
      <c r="G140" s="342"/>
      <c r="H140" s="343"/>
      <c r="I140" s="345"/>
      <c r="J140" s="341"/>
    </row>
    <row r="141" spans="2:10">
      <c r="B141" s="430" t="s">
        <v>305</v>
      </c>
      <c r="C141" s="274" t="s">
        <v>259</v>
      </c>
      <c r="D141" s="340" t="s">
        <v>357</v>
      </c>
      <c r="E141" s="341"/>
      <c r="F141" s="341"/>
      <c r="G141" s="342"/>
      <c r="H141" s="343"/>
      <c r="I141" s="345"/>
      <c r="J141" s="341"/>
    </row>
    <row r="142" spans="2:10">
      <c r="B142" s="430" t="s">
        <v>305</v>
      </c>
      <c r="C142" s="275" t="s">
        <v>260</v>
      </c>
      <c r="D142" s="17" t="s">
        <v>211</v>
      </c>
      <c r="E142" s="198">
        <v>9150</v>
      </c>
      <c r="F142" s="198" t="s">
        <v>266</v>
      </c>
      <c r="G142" s="200">
        <v>0.5</v>
      </c>
      <c r="H142" s="202">
        <v>43354</v>
      </c>
      <c r="I142" s="203">
        <v>43435</v>
      </c>
      <c r="J142" s="198" t="s">
        <v>416</v>
      </c>
    </row>
    <row r="143" spans="2:10">
      <c r="B143" s="430" t="s">
        <v>305</v>
      </c>
      <c r="C143" s="275" t="s">
        <v>260</v>
      </c>
      <c r="D143" s="17" t="s">
        <v>55</v>
      </c>
      <c r="E143" s="198">
        <v>587</v>
      </c>
      <c r="F143" s="198" t="s">
        <v>207</v>
      </c>
      <c r="G143" s="200">
        <v>0.5</v>
      </c>
      <c r="H143" s="202">
        <v>43354</v>
      </c>
      <c r="I143" s="203">
        <v>43435</v>
      </c>
      <c r="J143" s="198" t="s">
        <v>416</v>
      </c>
    </row>
    <row r="144" spans="2:10">
      <c r="B144" s="430" t="s">
        <v>305</v>
      </c>
      <c r="C144" s="275" t="s">
        <v>260</v>
      </c>
      <c r="D144" s="17" t="s">
        <v>76</v>
      </c>
      <c r="E144" s="198">
        <v>148</v>
      </c>
      <c r="F144" s="198" t="s">
        <v>207</v>
      </c>
      <c r="G144" s="200">
        <v>0.5</v>
      </c>
      <c r="H144" s="202">
        <v>43354</v>
      </c>
      <c r="I144" s="203">
        <v>43435</v>
      </c>
      <c r="J144" s="198" t="s">
        <v>416</v>
      </c>
    </row>
    <row r="145" spans="2:10">
      <c r="B145" s="430" t="s">
        <v>305</v>
      </c>
      <c r="C145" s="275" t="s">
        <v>260</v>
      </c>
      <c r="D145" s="17" t="s">
        <v>212</v>
      </c>
      <c r="E145" s="198">
        <v>1199</v>
      </c>
      <c r="F145" s="198" t="s">
        <v>207</v>
      </c>
      <c r="G145" s="200">
        <v>0.5</v>
      </c>
      <c r="H145" s="202">
        <v>43354</v>
      </c>
      <c r="I145" s="203">
        <v>43435</v>
      </c>
      <c r="J145" s="198" t="s">
        <v>416</v>
      </c>
    </row>
    <row r="146" spans="2:10">
      <c r="B146" s="430" t="s">
        <v>305</v>
      </c>
      <c r="C146" s="275" t="s">
        <v>260</v>
      </c>
      <c r="D146" s="340" t="s">
        <v>357</v>
      </c>
      <c r="E146" s="341"/>
      <c r="F146" s="341"/>
      <c r="G146" s="342"/>
      <c r="H146" s="343"/>
      <c r="I146" s="345"/>
      <c r="J146" s="341"/>
    </row>
    <row r="147" spans="2:10">
      <c r="B147" s="430" t="s">
        <v>305</v>
      </c>
      <c r="C147" s="275" t="s">
        <v>260</v>
      </c>
      <c r="D147" s="340" t="s">
        <v>357</v>
      </c>
      <c r="E147" s="341"/>
      <c r="F147" s="341"/>
      <c r="G147" s="342"/>
      <c r="H147" s="343"/>
      <c r="I147" s="345"/>
      <c r="J147" s="341"/>
    </row>
    <row r="148" spans="2:10">
      <c r="B148" s="430" t="s">
        <v>305</v>
      </c>
      <c r="C148" s="275" t="s">
        <v>260</v>
      </c>
      <c r="D148" s="340" t="s">
        <v>357</v>
      </c>
      <c r="E148" s="341"/>
      <c r="F148" s="341"/>
      <c r="G148" s="342"/>
      <c r="H148" s="343"/>
      <c r="I148" s="345"/>
      <c r="J148" s="341"/>
    </row>
    <row r="149" spans="2:10">
      <c r="B149" s="430" t="s">
        <v>305</v>
      </c>
      <c r="C149" s="275" t="s">
        <v>260</v>
      </c>
      <c r="D149" s="340" t="s">
        <v>357</v>
      </c>
      <c r="E149" s="341"/>
      <c r="F149" s="341"/>
      <c r="G149" s="342"/>
      <c r="H149" s="343"/>
      <c r="I149" s="345"/>
      <c r="J149" s="341"/>
    </row>
    <row r="150" spans="2:10">
      <c r="B150" s="430" t="s">
        <v>305</v>
      </c>
      <c r="C150" s="275" t="s">
        <v>260</v>
      </c>
      <c r="D150" s="340" t="s">
        <v>357</v>
      </c>
      <c r="E150" s="341"/>
      <c r="F150" s="341"/>
      <c r="G150" s="342"/>
      <c r="H150" s="343"/>
      <c r="I150" s="345"/>
      <c r="J150" s="341"/>
    </row>
    <row r="151" spans="2:10">
      <c r="B151" s="430" t="s">
        <v>305</v>
      </c>
      <c r="C151" s="272" t="s">
        <v>373</v>
      </c>
      <c r="D151" s="3" t="s">
        <v>399</v>
      </c>
      <c r="E151" s="243">
        <v>110</v>
      </c>
      <c r="F151" s="243" t="s">
        <v>406</v>
      </c>
      <c r="G151" s="258">
        <v>0.8</v>
      </c>
      <c r="H151" s="385">
        <v>43375</v>
      </c>
      <c r="I151" s="446">
        <v>43221</v>
      </c>
      <c r="J151" s="198" t="s">
        <v>416</v>
      </c>
    </row>
    <row r="152" spans="2:10">
      <c r="B152" s="430" t="s">
        <v>305</v>
      </c>
      <c r="C152" s="272" t="s">
        <v>373</v>
      </c>
      <c r="D152" s="3" t="s">
        <v>400</v>
      </c>
      <c r="E152" s="243">
        <v>130</v>
      </c>
      <c r="F152" s="243" t="s">
        <v>406</v>
      </c>
      <c r="G152" s="258">
        <v>0.8</v>
      </c>
      <c r="H152" s="385">
        <v>43375</v>
      </c>
      <c r="I152" s="446">
        <v>43221</v>
      </c>
      <c r="J152" s="198" t="s">
        <v>416</v>
      </c>
    </row>
    <row r="153" spans="2:10">
      <c r="B153" s="430" t="s">
        <v>305</v>
      </c>
      <c r="C153" s="272" t="s">
        <v>373</v>
      </c>
      <c r="D153" s="3" t="s">
        <v>401</v>
      </c>
      <c r="E153" s="243">
        <v>170</v>
      </c>
      <c r="F153" s="243" t="s">
        <v>406</v>
      </c>
      <c r="G153" s="258">
        <v>0.8</v>
      </c>
      <c r="H153" s="385">
        <v>43375</v>
      </c>
      <c r="I153" s="446">
        <v>43221</v>
      </c>
      <c r="J153" s="198" t="s">
        <v>416</v>
      </c>
    </row>
    <row r="154" spans="2:10">
      <c r="B154" s="430" t="s">
        <v>305</v>
      </c>
      <c r="C154" s="272" t="s">
        <v>373</v>
      </c>
      <c r="D154" s="3" t="s">
        <v>402</v>
      </c>
      <c r="E154" s="243">
        <v>310</v>
      </c>
      <c r="F154" s="243" t="s">
        <v>406</v>
      </c>
      <c r="G154" s="258">
        <v>0.8</v>
      </c>
      <c r="H154" s="385">
        <v>43375</v>
      </c>
      <c r="I154" s="446">
        <v>43221</v>
      </c>
      <c r="J154" s="198" t="s">
        <v>416</v>
      </c>
    </row>
    <row r="155" spans="2:10">
      <c r="B155" s="430" t="s">
        <v>305</v>
      </c>
      <c r="C155" s="272" t="s">
        <v>373</v>
      </c>
      <c r="D155" s="3" t="s">
        <v>403</v>
      </c>
      <c r="E155" s="243">
        <v>390</v>
      </c>
      <c r="F155" s="243" t="s">
        <v>406</v>
      </c>
      <c r="G155" s="258">
        <v>0.8</v>
      </c>
      <c r="H155" s="385">
        <v>43375</v>
      </c>
      <c r="I155" s="446">
        <v>43221</v>
      </c>
      <c r="J155" s="198" t="s">
        <v>416</v>
      </c>
    </row>
    <row r="156" spans="2:10">
      <c r="B156" s="430" t="s">
        <v>305</v>
      </c>
      <c r="C156" s="272" t="s">
        <v>373</v>
      </c>
      <c r="D156" s="3" t="s">
        <v>404</v>
      </c>
      <c r="E156" s="243">
        <v>170</v>
      </c>
      <c r="F156" s="243" t="s">
        <v>406</v>
      </c>
      <c r="G156" s="258">
        <v>0.8</v>
      </c>
      <c r="H156" s="385">
        <v>43375</v>
      </c>
      <c r="I156" s="446">
        <v>43221</v>
      </c>
      <c r="J156" s="198" t="s">
        <v>416</v>
      </c>
    </row>
    <row r="157" spans="2:10">
      <c r="B157" s="430" t="s">
        <v>305</v>
      </c>
      <c r="C157" s="272" t="s">
        <v>373</v>
      </c>
      <c r="D157" s="3" t="s">
        <v>405</v>
      </c>
      <c r="E157" s="243">
        <v>320</v>
      </c>
      <c r="F157" s="243" t="s">
        <v>406</v>
      </c>
      <c r="G157" s="258">
        <v>0.8</v>
      </c>
      <c r="H157" s="385">
        <v>43375</v>
      </c>
      <c r="I157" s="446">
        <v>43221</v>
      </c>
      <c r="J157" s="198" t="s">
        <v>416</v>
      </c>
    </row>
    <row r="158" spans="2:10">
      <c r="B158" s="430" t="s">
        <v>305</v>
      </c>
      <c r="C158" s="272" t="s">
        <v>373</v>
      </c>
      <c r="D158" s="340" t="s">
        <v>357</v>
      </c>
      <c r="E158" s="341"/>
      <c r="F158" s="341"/>
      <c r="G158" s="342"/>
      <c r="H158" s="343"/>
      <c r="I158" s="345"/>
      <c r="J158" s="341"/>
    </row>
    <row r="159" spans="2:10">
      <c r="B159" s="430" t="s">
        <v>305</v>
      </c>
      <c r="C159" s="272" t="s">
        <v>373</v>
      </c>
      <c r="D159" s="340" t="s">
        <v>357</v>
      </c>
      <c r="E159" s="341"/>
      <c r="F159" s="341"/>
      <c r="G159" s="342"/>
      <c r="H159" s="343"/>
      <c r="I159" s="345"/>
      <c r="J159" s="341"/>
    </row>
    <row r="160" spans="2:10">
      <c r="B160" s="430" t="s">
        <v>305</v>
      </c>
      <c r="C160" s="272" t="s">
        <v>373</v>
      </c>
      <c r="D160" s="340" t="s">
        <v>357</v>
      </c>
      <c r="E160" s="341"/>
      <c r="F160" s="341"/>
      <c r="G160" s="342"/>
      <c r="H160" s="343"/>
      <c r="I160" s="345"/>
      <c r="J160" s="341"/>
    </row>
    <row r="161" spans="2:10">
      <c r="B161" s="430" t="s">
        <v>305</v>
      </c>
      <c r="C161" s="272" t="s">
        <v>373</v>
      </c>
      <c r="D161" s="340" t="s">
        <v>357</v>
      </c>
      <c r="E161" s="341"/>
      <c r="F161" s="341"/>
      <c r="G161" s="342"/>
      <c r="H161" s="343"/>
      <c r="I161" s="345"/>
      <c r="J161" s="341"/>
    </row>
    <row r="162" spans="2:10">
      <c r="B162" s="430" t="s">
        <v>305</v>
      </c>
      <c r="C162" s="272" t="s">
        <v>373</v>
      </c>
      <c r="D162" s="340" t="s">
        <v>357</v>
      </c>
      <c r="E162" s="341"/>
      <c r="F162" s="341"/>
      <c r="G162" s="342"/>
      <c r="H162" s="343"/>
      <c r="I162" s="345"/>
      <c r="J162" s="341"/>
    </row>
    <row r="163" spans="2:10">
      <c r="B163" s="447" t="s">
        <v>86</v>
      </c>
      <c r="C163" s="382" t="s">
        <v>415</v>
      </c>
      <c r="D163" s="53" t="s">
        <v>213</v>
      </c>
      <c r="E163" s="198">
        <v>1914</v>
      </c>
      <c r="F163" s="198" t="s">
        <v>207</v>
      </c>
      <c r="G163" s="200">
        <v>0.5</v>
      </c>
      <c r="H163" s="202">
        <v>43354</v>
      </c>
      <c r="I163" s="203">
        <v>43070</v>
      </c>
      <c r="J163" s="198" t="s">
        <v>416</v>
      </c>
    </row>
    <row r="164" spans="2:10">
      <c r="B164" s="447" t="s">
        <v>86</v>
      </c>
      <c r="C164" s="382" t="s">
        <v>415</v>
      </c>
      <c r="D164" s="17" t="s">
        <v>69</v>
      </c>
      <c r="E164" s="198">
        <v>3827</v>
      </c>
      <c r="F164" s="198" t="s">
        <v>207</v>
      </c>
      <c r="G164" s="200">
        <v>0.5</v>
      </c>
      <c r="H164" s="202">
        <v>43354</v>
      </c>
      <c r="I164" s="203">
        <v>43070</v>
      </c>
      <c r="J164" s="198" t="s">
        <v>416</v>
      </c>
    </row>
    <row r="165" spans="2:10">
      <c r="B165" s="447" t="s">
        <v>86</v>
      </c>
      <c r="C165" s="382" t="s">
        <v>415</v>
      </c>
      <c r="D165" s="17" t="s">
        <v>215</v>
      </c>
      <c r="E165" s="198">
        <v>55000</v>
      </c>
      <c r="F165" s="198" t="s">
        <v>269</v>
      </c>
      <c r="G165" s="200">
        <v>0.3</v>
      </c>
      <c r="H165" s="202">
        <v>43354</v>
      </c>
      <c r="I165" s="203">
        <v>43466</v>
      </c>
      <c r="J165" s="198" t="s">
        <v>416</v>
      </c>
    </row>
    <row r="166" spans="2:10">
      <c r="B166" s="447" t="s">
        <v>86</v>
      </c>
      <c r="C166" s="382" t="s">
        <v>415</v>
      </c>
      <c r="D166" s="17" t="s">
        <v>216</v>
      </c>
      <c r="E166" s="198">
        <v>7360</v>
      </c>
      <c r="F166" s="198" t="s">
        <v>268</v>
      </c>
      <c r="G166" s="200">
        <v>0.3</v>
      </c>
      <c r="H166" s="202">
        <v>43354</v>
      </c>
      <c r="I166" s="203">
        <v>43466</v>
      </c>
      <c r="J166" s="198" t="s">
        <v>416</v>
      </c>
    </row>
    <row r="167" spans="2:10" s="381" customFormat="1">
      <c r="B167" s="447" t="s">
        <v>86</v>
      </c>
      <c r="C167" s="382" t="s">
        <v>415</v>
      </c>
      <c r="D167" s="3" t="s">
        <v>306</v>
      </c>
      <c r="E167" s="243">
        <v>35800</v>
      </c>
      <c r="F167" s="243" t="s">
        <v>268</v>
      </c>
      <c r="G167" s="339">
        <v>0.3</v>
      </c>
      <c r="H167" s="385">
        <v>43354</v>
      </c>
      <c r="I167" s="446">
        <v>43466</v>
      </c>
      <c r="J167" s="198" t="s">
        <v>416</v>
      </c>
    </row>
    <row r="168" spans="2:10">
      <c r="B168" s="447" t="s">
        <v>86</v>
      </c>
      <c r="C168" s="382" t="s">
        <v>415</v>
      </c>
      <c r="D168" s="17" t="s">
        <v>217</v>
      </c>
      <c r="E168" s="198">
        <v>20500</v>
      </c>
      <c r="F168" s="198" t="s">
        <v>268</v>
      </c>
      <c r="G168" s="200">
        <v>0.3</v>
      </c>
      <c r="H168" s="202">
        <v>43354</v>
      </c>
      <c r="I168" s="203">
        <v>43466</v>
      </c>
      <c r="J168" s="198" t="s">
        <v>416</v>
      </c>
    </row>
    <row r="169" spans="2:10">
      <c r="B169" s="447" t="s">
        <v>86</v>
      </c>
      <c r="C169" s="382" t="s">
        <v>415</v>
      </c>
      <c r="D169" s="17" t="s">
        <v>218</v>
      </c>
      <c r="E169" s="198">
        <v>2029.9999999999998</v>
      </c>
      <c r="F169" s="198" t="s">
        <v>268</v>
      </c>
      <c r="G169" s="200">
        <v>0.3</v>
      </c>
      <c r="H169" s="202">
        <v>43354</v>
      </c>
      <c r="I169" s="203">
        <v>43466</v>
      </c>
      <c r="J169" s="198" t="s">
        <v>416</v>
      </c>
    </row>
    <row r="170" spans="2:10">
      <c r="B170" s="447" t="s">
        <v>86</v>
      </c>
      <c r="C170" s="382" t="s">
        <v>415</v>
      </c>
      <c r="D170" s="340" t="s">
        <v>357</v>
      </c>
      <c r="E170" s="341"/>
      <c r="F170" s="341"/>
      <c r="G170" s="342"/>
      <c r="H170" s="343"/>
      <c r="I170" s="345"/>
      <c r="J170" s="341"/>
    </row>
    <row r="171" spans="2:10">
      <c r="B171" s="447" t="s">
        <v>86</v>
      </c>
      <c r="C171" s="382" t="s">
        <v>415</v>
      </c>
      <c r="D171" s="340" t="s">
        <v>357</v>
      </c>
      <c r="E171" s="341"/>
      <c r="F171" s="341"/>
      <c r="G171" s="342"/>
      <c r="H171" s="343"/>
      <c r="I171" s="345"/>
      <c r="J171" s="341"/>
    </row>
    <row r="172" spans="2:10">
      <c r="B172" s="447" t="s">
        <v>86</v>
      </c>
      <c r="C172" s="382" t="s">
        <v>415</v>
      </c>
      <c r="D172" s="340" t="s">
        <v>357</v>
      </c>
      <c r="E172" s="341"/>
      <c r="F172" s="341"/>
      <c r="G172" s="342"/>
      <c r="H172" s="343"/>
      <c r="I172" s="345"/>
      <c r="J172" s="341"/>
    </row>
    <row r="173" spans="2:10">
      <c r="B173" s="447" t="s">
        <v>86</v>
      </c>
      <c r="C173" s="382" t="s">
        <v>415</v>
      </c>
      <c r="D173" s="340" t="s">
        <v>357</v>
      </c>
      <c r="E173" s="341"/>
      <c r="F173" s="341"/>
      <c r="G173" s="342"/>
      <c r="H173" s="343"/>
      <c r="I173" s="345"/>
      <c r="J173" s="341"/>
    </row>
    <row r="174" spans="2:10">
      <c r="B174" s="447" t="s">
        <v>86</v>
      </c>
      <c r="C174" s="382" t="s">
        <v>415</v>
      </c>
      <c r="D174" s="340" t="s">
        <v>357</v>
      </c>
      <c r="E174" s="341"/>
      <c r="F174" s="341"/>
      <c r="G174" s="342"/>
      <c r="H174" s="343"/>
      <c r="I174" s="345"/>
      <c r="J174" s="341"/>
    </row>
    <row r="175" spans="2:10">
      <c r="B175" s="447" t="s">
        <v>86</v>
      </c>
      <c r="C175" s="383" t="s">
        <v>414</v>
      </c>
      <c r="D175" s="17" t="s">
        <v>214</v>
      </c>
      <c r="E175" s="198">
        <v>9490</v>
      </c>
      <c r="F175" s="198" t="s">
        <v>207</v>
      </c>
      <c r="G175" s="200">
        <v>0.3</v>
      </c>
      <c r="H175" s="202">
        <v>43354</v>
      </c>
      <c r="I175" s="203">
        <v>43466</v>
      </c>
      <c r="J175" s="198" t="s">
        <v>416</v>
      </c>
    </row>
    <row r="176" spans="2:10">
      <c r="B176" s="447" t="s">
        <v>86</v>
      </c>
      <c r="C176" s="383" t="s">
        <v>414</v>
      </c>
      <c r="D176" s="17" t="s">
        <v>219</v>
      </c>
      <c r="E176" s="198">
        <v>5600</v>
      </c>
      <c r="F176" s="198" t="s">
        <v>207</v>
      </c>
      <c r="G176" s="200">
        <v>0.3</v>
      </c>
      <c r="H176" s="202">
        <v>43354</v>
      </c>
      <c r="I176" s="203">
        <v>43466</v>
      </c>
      <c r="J176" s="198" t="s">
        <v>416</v>
      </c>
    </row>
    <row r="177" spans="2:10">
      <c r="B177" s="447" t="s">
        <v>86</v>
      </c>
      <c r="C177" s="383" t="s">
        <v>414</v>
      </c>
      <c r="D177" s="17" t="s">
        <v>307</v>
      </c>
      <c r="E177" s="198">
        <v>4800</v>
      </c>
      <c r="F177" s="198" t="s">
        <v>207</v>
      </c>
      <c r="G177" s="200">
        <v>0.3</v>
      </c>
      <c r="H177" s="202">
        <v>43354</v>
      </c>
      <c r="I177" s="203">
        <v>43466</v>
      </c>
      <c r="J177" s="198" t="s">
        <v>416</v>
      </c>
    </row>
    <row r="178" spans="2:10">
      <c r="B178" s="447" t="s">
        <v>86</v>
      </c>
      <c r="C178" s="383" t="s">
        <v>414</v>
      </c>
      <c r="D178" s="17" t="s">
        <v>220</v>
      </c>
      <c r="E178" s="198">
        <v>3610</v>
      </c>
      <c r="F178" s="198" t="s">
        <v>207</v>
      </c>
      <c r="G178" s="200">
        <v>0.3</v>
      </c>
      <c r="H178" s="202">
        <v>43354</v>
      </c>
      <c r="I178" s="203">
        <v>43466</v>
      </c>
      <c r="J178" s="198" t="s">
        <v>416</v>
      </c>
    </row>
    <row r="179" spans="2:10">
      <c r="B179" s="447" t="s">
        <v>86</v>
      </c>
      <c r="C179" s="383" t="s">
        <v>414</v>
      </c>
      <c r="D179" s="17" t="s">
        <v>267</v>
      </c>
      <c r="E179" s="198">
        <v>2880</v>
      </c>
      <c r="F179" s="198" t="s">
        <v>269</v>
      </c>
      <c r="G179" s="200">
        <v>0.3</v>
      </c>
      <c r="H179" s="202">
        <v>43354</v>
      </c>
      <c r="I179" s="203">
        <v>43466</v>
      </c>
      <c r="J179" s="198" t="s">
        <v>416</v>
      </c>
    </row>
    <row r="180" spans="2:10">
      <c r="B180" s="447" t="s">
        <v>86</v>
      </c>
      <c r="C180" s="383" t="s">
        <v>414</v>
      </c>
      <c r="D180" s="17" t="s">
        <v>221</v>
      </c>
      <c r="E180" s="198">
        <v>1520</v>
      </c>
      <c r="F180" s="198" t="s">
        <v>207</v>
      </c>
      <c r="G180" s="200">
        <v>0.3</v>
      </c>
      <c r="H180" s="202">
        <v>43354</v>
      </c>
      <c r="I180" s="203">
        <v>43466</v>
      </c>
      <c r="J180" s="198" t="s">
        <v>416</v>
      </c>
    </row>
    <row r="181" spans="2:10">
      <c r="B181" s="447" t="s">
        <v>86</v>
      </c>
      <c r="C181" s="383" t="s">
        <v>414</v>
      </c>
      <c r="D181" s="17" t="s">
        <v>222</v>
      </c>
      <c r="E181" s="198">
        <v>701</v>
      </c>
      <c r="F181" s="198" t="s">
        <v>207</v>
      </c>
      <c r="G181" s="200">
        <v>0.3</v>
      </c>
      <c r="H181" s="202">
        <v>43354</v>
      </c>
      <c r="I181" s="203">
        <v>43466</v>
      </c>
      <c r="J181" s="198" t="s">
        <v>416</v>
      </c>
    </row>
    <row r="182" spans="2:10">
      <c r="B182" s="447" t="s">
        <v>86</v>
      </c>
      <c r="C182" s="383" t="s">
        <v>414</v>
      </c>
      <c r="D182" s="53" t="s">
        <v>132</v>
      </c>
      <c r="E182" s="198">
        <v>1620</v>
      </c>
      <c r="F182" s="198" t="s">
        <v>207</v>
      </c>
      <c r="G182" s="200">
        <v>0.3</v>
      </c>
      <c r="H182" s="202">
        <v>43354</v>
      </c>
      <c r="I182" s="203">
        <v>43466</v>
      </c>
      <c r="J182" s="198" t="s">
        <v>416</v>
      </c>
    </row>
    <row r="183" spans="2:10">
      <c r="B183" s="447" t="s">
        <v>86</v>
      </c>
      <c r="C183" s="383" t="s">
        <v>414</v>
      </c>
      <c r="D183" s="53" t="s">
        <v>223</v>
      </c>
      <c r="E183" s="198">
        <v>2600</v>
      </c>
      <c r="F183" s="198" t="s">
        <v>207</v>
      </c>
      <c r="G183" s="200">
        <v>0.3</v>
      </c>
      <c r="H183" s="202">
        <v>43354</v>
      </c>
      <c r="I183" s="203">
        <v>43466</v>
      </c>
      <c r="J183" s="198" t="s">
        <v>416</v>
      </c>
    </row>
    <row r="184" spans="2:10">
      <c r="B184" s="447" t="s">
        <v>86</v>
      </c>
      <c r="C184" s="383" t="s">
        <v>414</v>
      </c>
      <c r="D184" s="17" t="s">
        <v>224</v>
      </c>
      <c r="E184" s="198">
        <v>1220</v>
      </c>
      <c r="F184" s="198" t="s">
        <v>207</v>
      </c>
      <c r="G184" s="200">
        <v>0.3</v>
      </c>
      <c r="H184" s="202">
        <v>43354</v>
      </c>
      <c r="I184" s="203">
        <v>43466</v>
      </c>
      <c r="J184" s="198" t="s">
        <v>416</v>
      </c>
    </row>
    <row r="185" spans="2:10">
      <c r="B185" s="447" t="s">
        <v>86</v>
      </c>
      <c r="C185" s="383" t="s">
        <v>414</v>
      </c>
      <c r="D185" s="17" t="s">
        <v>308</v>
      </c>
      <c r="E185" s="198">
        <v>2610</v>
      </c>
      <c r="F185" s="198" t="s">
        <v>207</v>
      </c>
      <c r="G185" s="200">
        <v>0.3</v>
      </c>
      <c r="H185" s="202">
        <v>43354</v>
      </c>
      <c r="I185" s="203">
        <v>43466</v>
      </c>
      <c r="J185" s="198" t="s">
        <v>416</v>
      </c>
    </row>
    <row r="186" spans="2:10">
      <c r="B186" s="447" t="s">
        <v>86</v>
      </c>
      <c r="C186" s="383" t="s">
        <v>414</v>
      </c>
      <c r="D186" s="17" t="s">
        <v>15</v>
      </c>
      <c r="E186" s="198">
        <v>1170</v>
      </c>
      <c r="F186" s="198" t="s">
        <v>207</v>
      </c>
      <c r="G186" s="200">
        <v>0.3</v>
      </c>
      <c r="H186" s="202">
        <v>43354</v>
      </c>
      <c r="I186" s="203">
        <v>43466</v>
      </c>
      <c r="J186" s="198" t="s">
        <v>416</v>
      </c>
    </row>
    <row r="187" spans="2:10">
      <c r="B187" s="447" t="s">
        <v>86</v>
      </c>
      <c r="C187" s="383" t="s">
        <v>414</v>
      </c>
      <c r="D187" s="17" t="s">
        <v>225</v>
      </c>
      <c r="E187" s="198">
        <v>1280</v>
      </c>
      <c r="F187" s="198" t="s">
        <v>207</v>
      </c>
      <c r="G187" s="200">
        <v>0.3</v>
      </c>
      <c r="H187" s="202">
        <v>43354</v>
      </c>
      <c r="I187" s="203">
        <v>43466</v>
      </c>
      <c r="J187" s="198" t="s">
        <v>416</v>
      </c>
    </row>
    <row r="188" spans="2:10">
      <c r="B188" s="447" t="s">
        <v>86</v>
      </c>
      <c r="C188" s="383" t="s">
        <v>414</v>
      </c>
      <c r="D188" s="17" t="s">
        <v>226</v>
      </c>
      <c r="E188" s="198">
        <v>682</v>
      </c>
      <c r="F188" s="198" t="s">
        <v>207</v>
      </c>
      <c r="G188" s="200">
        <v>0.3</v>
      </c>
      <c r="H188" s="202">
        <v>43354</v>
      </c>
      <c r="I188" s="203">
        <v>43466</v>
      </c>
      <c r="J188" s="198" t="s">
        <v>416</v>
      </c>
    </row>
    <row r="189" spans="2:10">
      <c r="B189" s="447" t="s">
        <v>86</v>
      </c>
      <c r="C189" s="383" t="s">
        <v>414</v>
      </c>
      <c r="D189" s="340" t="s">
        <v>357</v>
      </c>
      <c r="E189" s="341"/>
      <c r="F189" s="341"/>
      <c r="G189" s="342"/>
      <c r="H189" s="343"/>
      <c r="I189" s="345"/>
      <c r="J189" s="341"/>
    </row>
    <row r="190" spans="2:10">
      <c r="B190" s="447" t="s">
        <v>86</v>
      </c>
      <c r="C190" s="383" t="s">
        <v>414</v>
      </c>
      <c r="D190" s="340" t="s">
        <v>357</v>
      </c>
      <c r="E190" s="341"/>
      <c r="F190" s="341"/>
      <c r="G190" s="342"/>
      <c r="H190" s="343"/>
      <c r="I190" s="345"/>
      <c r="J190" s="341"/>
    </row>
    <row r="191" spans="2:10">
      <c r="B191" s="447" t="s">
        <v>86</v>
      </c>
      <c r="C191" s="383" t="s">
        <v>414</v>
      </c>
      <c r="D191" s="340" t="s">
        <v>357</v>
      </c>
      <c r="E191" s="341"/>
      <c r="F191" s="341"/>
      <c r="G191" s="342"/>
      <c r="H191" s="343"/>
      <c r="I191" s="345"/>
      <c r="J191" s="341"/>
    </row>
    <row r="192" spans="2:10">
      <c r="B192" s="447" t="s">
        <v>86</v>
      </c>
      <c r="C192" s="383" t="s">
        <v>414</v>
      </c>
      <c r="D192" s="340" t="s">
        <v>357</v>
      </c>
      <c r="E192" s="341"/>
      <c r="F192" s="341"/>
      <c r="G192" s="342"/>
      <c r="H192" s="343"/>
      <c r="I192" s="345"/>
      <c r="J192" s="341"/>
    </row>
    <row r="193" spans="2:10">
      <c r="B193" s="447" t="s">
        <v>86</v>
      </c>
      <c r="C193" s="383" t="s">
        <v>414</v>
      </c>
      <c r="D193" s="340" t="s">
        <v>357</v>
      </c>
      <c r="E193" s="341"/>
      <c r="F193" s="341"/>
      <c r="G193" s="342"/>
      <c r="H193" s="343"/>
      <c r="I193" s="345"/>
      <c r="J193" s="341"/>
    </row>
    <row r="194" spans="2:10">
      <c r="B194" s="447" t="s">
        <v>86</v>
      </c>
      <c r="C194" s="384" t="s">
        <v>377</v>
      </c>
      <c r="D194" s="17" t="s">
        <v>227</v>
      </c>
      <c r="E194" s="198">
        <v>1.43</v>
      </c>
      <c r="F194" s="198" t="s">
        <v>228</v>
      </c>
      <c r="G194" s="200">
        <v>0.3</v>
      </c>
      <c r="H194" s="202">
        <v>43354</v>
      </c>
      <c r="I194" s="203">
        <v>43466</v>
      </c>
      <c r="J194" s="198" t="s">
        <v>416</v>
      </c>
    </row>
    <row r="195" spans="2:10">
      <c r="B195" s="447" t="s">
        <v>86</v>
      </c>
      <c r="C195" s="384" t="s">
        <v>377</v>
      </c>
      <c r="D195" s="17" t="s">
        <v>229</v>
      </c>
      <c r="E195" s="198">
        <v>2.67</v>
      </c>
      <c r="F195" s="198" t="s">
        <v>228</v>
      </c>
      <c r="G195" s="200">
        <v>0.3</v>
      </c>
      <c r="H195" s="202">
        <v>43354</v>
      </c>
      <c r="I195" s="203">
        <v>43466</v>
      </c>
      <c r="J195" s="198" t="s">
        <v>416</v>
      </c>
    </row>
    <row r="196" spans="2:10">
      <c r="B196" s="447" t="s">
        <v>86</v>
      </c>
      <c r="C196" s="384" t="s">
        <v>377</v>
      </c>
      <c r="D196" s="17" t="s">
        <v>378</v>
      </c>
      <c r="E196" s="198">
        <v>1.0900000000000001</v>
      </c>
      <c r="F196" s="198" t="s">
        <v>228</v>
      </c>
      <c r="G196" s="200">
        <v>0.3</v>
      </c>
      <c r="H196" s="202">
        <v>43375</v>
      </c>
      <c r="I196" s="203">
        <v>43800</v>
      </c>
      <c r="J196" s="198" t="s">
        <v>416</v>
      </c>
    </row>
    <row r="197" spans="2:10">
      <c r="B197" s="447" t="s">
        <v>86</v>
      </c>
      <c r="C197" s="384" t="s">
        <v>377</v>
      </c>
      <c r="D197" s="17" t="s">
        <v>379</v>
      </c>
      <c r="E197" s="243">
        <v>0.39300000000000002</v>
      </c>
      <c r="F197" s="198" t="s">
        <v>228</v>
      </c>
      <c r="G197" s="200">
        <v>0.3</v>
      </c>
      <c r="H197" s="202">
        <v>43375</v>
      </c>
      <c r="I197" s="203">
        <v>43800</v>
      </c>
      <c r="J197" s="198" t="s">
        <v>416</v>
      </c>
    </row>
    <row r="198" spans="2:10">
      <c r="B198" s="447" t="s">
        <v>86</v>
      </c>
      <c r="C198" s="384" t="s">
        <v>377</v>
      </c>
      <c r="D198" s="17" t="s">
        <v>380</v>
      </c>
      <c r="E198" s="198">
        <v>1.64E-4</v>
      </c>
      <c r="F198" s="198" t="s">
        <v>228</v>
      </c>
      <c r="G198" s="200">
        <v>0.3</v>
      </c>
      <c r="H198" s="202">
        <v>43375</v>
      </c>
      <c r="I198" s="203">
        <v>43800</v>
      </c>
      <c r="J198" s="198" t="s">
        <v>416</v>
      </c>
    </row>
    <row r="199" spans="2:10">
      <c r="B199" s="447" t="s">
        <v>86</v>
      </c>
      <c r="C199" s="384" t="s">
        <v>377</v>
      </c>
      <c r="D199" s="17" t="s">
        <v>381</v>
      </c>
      <c r="E199" s="198">
        <v>15.7</v>
      </c>
      <c r="F199" s="198" t="s">
        <v>228</v>
      </c>
      <c r="G199" s="200">
        <v>0.3</v>
      </c>
      <c r="H199" s="202">
        <v>43375</v>
      </c>
      <c r="I199" s="203">
        <v>43800</v>
      </c>
      <c r="J199" s="198" t="s">
        <v>416</v>
      </c>
    </row>
    <row r="200" spans="2:10">
      <c r="B200" s="447" t="s">
        <v>86</v>
      </c>
      <c r="C200" s="384" t="s">
        <v>377</v>
      </c>
      <c r="D200" s="340" t="s">
        <v>357</v>
      </c>
      <c r="E200" s="341"/>
      <c r="F200" s="341"/>
      <c r="G200" s="342"/>
      <c r="H200" s="343"/>
      <c r="I200" s="345"/>
      <c r="J200" s="341"/>
    </row>
    <row r="201" spans="2:10">
      <c r="B201" s="447" t="s">
        <v>86</v>
      </c>
      <c r="C201" s="384" t="s">
        <v>377</v>
      </c>
      <c r="D201" s="340" t="s">
        <v>357</v>
      </c>
      <c r="E201" s="341"/>
      <c r="F201" s="341"/>
      <c r="G201" s="342"/>
      <c r="H201" s="343"/>
      <c r="I201" s="345"/>
      <c r="J201" s="341"/>
    </row>
    <row r="202" spans="2:10">
      <c r="B202" s="447" t="s">
        <v>86</v>
      </c>
      <c r="C202" s="384" t="s">
        <v>377</v>
      </c>
      <c r="D202" s="340" t="s">
        <v>357</v>
      </c>
      <c r="E202" s="341"/>
      <c r="F202" s="341"/>
      <c r="G202" s="342"/>
      <c r="H202" s="343"/>
      <c r="I202" s="345"/>
      <c r="J202" s="341"/>
    </row>
    <row r="203" spans="2:10">
      <c r="B203" s="447" t="s">
        <v>86</v>
      </c>
      <c r="C203" s="384" t="s">
        <v>377</v>
      </c>
      <c r="D203" s="340" t="s">
        <v>357</v>
      </c>
      <c r="E203" s="341"/>
      <c r="F203" s="341"/>
      <c r="G203" s="342"/>
      <c r="H203" s="343"/>
      <c r="I203" s="345"/>
      <c r="J203" s="341"/>
    </row>
    <row r="204" spans="2:10">
      <c r="B204" s="447" t="s">
        <v>86</v>
      </c>
      <c r="C204" s="384" t="s">
        <v>377</v>
      </c>
      <c r="D204" s="340" t="s">
        <v>357</v>
      </c>
      <c r="E204" s="341"/>
      <c r="F204" s="341"/>
      <c r="G204" s="342"/>
      <c r="H204" s="343"/>
      <c r="I204" s="345"/>
      <c r="J204" s="341"/>
    </row>
    <row r="205" spans="2:10">
      <c r="B205" s="447" t="s">
        <v>86</v>
      </c>
      <c r="C205" s="440" t="s">
        <v>262</v>
      </c>
      <c r="D205" s="53" t="s">
        <v>188</v>
      </c>
      <c r="E205" s="198">
        <v>2.25</v>
      </c>
      <c r="F205" s="198" t="s">
        <v>230</v>
      </c>
      <c r="G205" s="200">
        <v>0.5</v>
      </c>
      <c r="H205" s="202">
        <v>43354</v>
      </c>
      <c r="I205" s="203">
        <v>43070</v>
      </c>
      <c r="J205" s="198" t="s">
        <v>416</v>
      </c>
    </row>
    <row r="206" spans="2:10">
      <c r="B206" s="447" t="s">
        <v>86</v>
      </c>
      <c r="C206" s="440" t="s">
        <v>262</v>
      </c>
      <c r="D206" s="53" t="s">
        <v>189</v>
      </c>
      <c r="E206" s="198">
        <v>0.45</v>
      </c>
      <c r="F206" s="198" t="s">
        <v>230</v>
      </c>
      <c r="G206" s="200">
        <v>0.5</v>
      </c>
      <c r="H206" s="202">
        <v>43354</v>
      </c>
      <c r="I206" s="203">
        <v>43070</v>
      </c>
      <c r="J206" s="198" t="s">
        <v>416</v>
      </c>
    </row>
    <row r="207" spans="2:10">
      <c r="B207" s="447" t="s">
        <v>86</v>
      </c>
      <c r="C207" s="440" t="s">
        <v>262</v>
      </c>
      <c r="D207" s="53" t="s">
        <v>398</v>
      </c>
      <c r="E207" s="198">
        <v>7.26</v>
      </c>
      <c r="F207" s="198" t="s">
        <v>230</v>
      </c>
      <c r="G207" s="200">
        <v>0.5</v>
      </c>
      <c r="H207" s="202">
        <v>43375</v>
      </c>
      <c r="I207" s="203">
        <v>43070</v>
      </c>
      <c r="J207" s="198" t="s">
        <v>416</v>
      </c>
    </row>
    <row r="208" spans="2:10">
      <c r="B208" s="447" t="s">
        <v>86</v>
      </c>
      <c r="C208" s="440" t="s">
        <v>262</v>
      </c>
      <c r="D208" s="53" t="s">
        <v>397</v>
      </c>
      <c r="E208" s="198">
        <v>1.58</v>
      </c>
      <c r="F208" s="198" t="s">
        <v>230</v>
      </c>
      <c r="G208" s="200">
        <v>0.5</v>
      </c>
      <c r="H208" s="202">
        <v>43375</v>
      </c>
      <c r="I208" s="203">
        <v>43070</v>
      </c>
      <c r="J208" s="198" t="s">
        <v>416</v>
      </c>
    </row>
    <row r="209" spans="2:10">
      <c r="B209" s="447" t="s">
        <v>86</v>
      </c>
      <c r="C209" s="440" t="s">
        <v>262</v>
      </c>
      <c r="D209" s="340" t="s">
        <v>357</v>
      </c>
      <c r="E209" s="341"/>
      <c r="F209" s="341"/>
      <c r="G209" s="342"/>
      <c r="H209" s="343"/>
      <c r="I209" s="345"/>
      <c r="J209" s="341"/>
    </row>
    <row r="210" spans="2:10">
      <c r="B210" s="447" t="s">
        <v>86</v>
      </c>
      <c r="C210" s="440" t="s">
        <v>262</v>
      </c>
      <c r="D210" s="340" t="s">
        <v>357</v>
      </c>
      <c r="E210" s="341"/>
      <c r="F210" s="341"/>
      <c r="G210" s="342"/>
      <c r="H210" s="343"/>
      <c r="I210" s="345"/>
      <c r="J210" s="341"/>
    </row>
    <row r="211" spans="2:10">
      <c r="B211" s="447" t="s">
        <v>86</v>
      </c>
      <c r="C211" s="440" t="s">
        <v>262</v>
      </c>
      <c r="D211" s="340" t="s">
        <v>357</v>
      </c>
      <c r="E211" s="341"/>
      <c r="F211" s="341"/>
      <c r="G211" s="342"/>
      <c r="H211" s="343"/>
      <c r="I211" s="345"/>
      <c r="J211" s="341"/>
    </row>
    <row r="212" spans="2:10">
      <c r="B212" s="447" t="s">
        <v>86</v>
      </c>
      <c r="C212" s="440" t="s">
        <v>262</v>
      </c>
      <c r="D212" s="340" t="s">
        <v>357</v>
      </c>
      <c r="E212" s="341"/>
      <c r="F212" s="341"/>
      <c r="G212" s="342"/>
      <c r="H212" s="343"/>
      <c r="I212" s="345"/>
      <c r="J212" s="341"/>
    </row>
    <row r="213" spans="2:10">
      <c r="B213" s="447" t="s">
        <v>86</v>
      </c>
      <c r="C213" s="440" t="s">
        <v>262</v>
      </c>
      <c r="D213" s="340" t="s">
        <v>357</v>
      </c>
      <c r="E213" s="341"/>
      <c r="F213" s="341"/>
      <c r="G213" s="342"/>
      <c r="H213" s="343"/>
      <c r="I213" s="345"/>
      <c r="J213" s="341"/>
    </row>
    <row r="214" spans="2:10">
      <c r="B214" s="448" t="s">
        <v>190</v>
      </c>
      <c r="C214" s="386" t="s">
        <v>263</v>
      </c>
      <c r="D214" s="5" t="s">
        <v>231</v>
      </c>
      <c r="E214" s="198">
        <v>877</v>
      </c>
      <c r="F214" s="198" t="s">
        <v>207</v>
      </c>
      <c r="G214" s="200">
        <v>1</v>
      </c>
      <c r="H214" s="202">
        <v>43354</v>
      </c>
      <c r="I214" s="203">
        <v>43070</v>
      </c>
      <c r="J214" s="198" t="s">
        <v>416</v>
      </c>
    </row>
    <row r="215" spans="2:10">
      <c r="B215" s="448" t="s">
        <v>190</v>
      </c>
      <c r="C215" s="386" t="s">
        <v>263</v>
      </c>
      <c r="D215" s="5" t="s">
        <v>178</v>
      </c>
      <c r="E215" s="198">
        <v>1063</v>
      </c>
      <c r="F215" s="198" t="s">
        <v>207</v>
      </c>
      <c r="G215" s="200">
        <v>0.2</v>
      </c>
      <c r="H215" s="202">
        <v>43357</v>
      </c>
      <c r="I215" s="203">
        <v>43435</v>
      </c>
      <c r="J215" s="198" t="s">
        <v>416</v>
      </c>
    </row>
    <row r="216" spans="2:10">
      <c r="B216" s="448" t="s">
        <v>190</v>
      </c>
      <c r="C216" s="386" t="s">
        <v>263</v>
      </c>
      <c r="D216" s="5" t="s">
        <v>448</v>
      </c>
      <c r="E216" s="198"/>
      <c r="F216" s="198" t="s">
        <v>207</v>
      </c>
      <c r="G216" s="200"/>
      <c r="H216" s="202"/>
      <c r="I216" s="203">
        <v>43435</v>
      </c>
      <c r="J216" s="198" t="s">
        <v>416</v>
      </c>
    </row>
    <row r="217" spans="2:10">
      <c r="B217" s="448" t="s">
        <v>190</v>
      </c>
      <c r="C217" s="386" t="s">
        <v>263</v>
      </c>
      <c r="D217" s="5" t="s">
        <v>233</v>
      </c>
      <c r="E217" s="198">
        <v>48.1</v>
      </c>
      <c r="F217" s="198" t="s">
        <v>207</v>
      </c>
      <c r="G217" s="200">
        <v>1</v>
      </c>
      <c r="H217" s="202">
        <v>43357</v>
      </c>
      <c r="I217" s="203">
        <v>43070</v>
      </c>
      <c r="J217" s="198" t="s">
        <v>416</v>
      </c>
    </row>
    <row r="218" spans="2:10">
      <c r="B218" s="448" t="s">
        <v>190</v>
      </c>
      <c r="C218" s="386" t="s">
        <v>263</v>
      </c>
      <c r="D218" s="340" t="s">
        <v>357</v>
      </c>
      <c r="E218" s="341"/>
      <c r="F218" s="341"/>
      <c r="G218" s="342"/>
      <c r="H218" s="343"/>
      <c r="I218" s="345"/>
      <c r="J218" s="341"/>
    </row>
    <row r="219" spans="2:10">
      <c r="B219" s="448" t="s">
        <v>190</v>
      </c>
      <c r="C219" s="386" t="s">
        <v>263</v>
      </c>
      <c r="D219" s="340" t="s">
        <v>357</v>
      </c>
      <c r="E219" s="341"/>
      <c r="F219" s="341"/>
      <c r="G219" s="342"/>
      <c r="H219" s="343"/>
      <c r="I219" s="345"/>
      <c r="J219" s="341"/>
    </row>
    <row r="220" spans="2:10">
      <c r="B220" s="448" t="s">
        <v>190</v>
      </c>
      <c r="C220" s="386" t="s">
        <v>263</v>
      </c>
      <c r="D220" s="340" t="s">
        <v>357</v>
      </c>
      <c r="E220" s="341"/>
      <c r="F220" s="341"/>
      <c r="G220" s="342"/>
      <c r="H220" s="343"/>
      <c r="I220" s="345"/>
      <c r="J220" s="341"/>
    </row>
    <row r="221" spans="2:10">
      <c r="B221" s="448" t="s">
        <v>190</v>
      </c>
      <c r="C221" s="386" t="s">
        <v>263</v>
      </c>
      <c r="D221" s="340" t="s">
        <v>357</v>
      </c>
      <c r="E221" s="341"/>
      <c r="F221" s="341"/>
      <c r="G221" s="342"/>
      <c r="H221" s="343"/>
      <c r="I221" s="345"/>
      <c r="J221" s="341"/>
    </row>
    <row r="222" spans="2:10">
      <c r="B222" s="448" t="s">
        <v>190</v>
      </c>
      <c r="C222" s="386" t="s">
        <v>263</v>
      </c>
      <c r="D222" s="340" t="s">
        <v>357</v>
      </c>
      <c r="E222" s="341"/>
      <c r="F222" s="341"/>
      <c r="G222" s="342"/>
      <c r="H222" s="343"/>
      <c r="I222" s="345"/>
      <c r="J222" s="341"/>
    </row>
    <row r="223" spans="2:10">
      <c r="B223" s="276" t="s">
        <v>191</v>
      </c>
      <c r="C223" s="388" t="s">
        <v>50</v>
      </c>
      <c r="D223" s="17" t="s">
        <v>234</v>
      </c>
      <c r="E223" s="198">
        <v>155</v>
      </c>
      <c r="F223" s="198" t="s">
        <v>207</v>
      </c>
      <c r="G223" s="200">
        <v>0.2</v>
      </c>
      <c r="H223" s="202">
        <v>43357</v>
      </c>
      <c r="I223" s="203">
        <v>43070</v>
      </c>
      <c r="J223" s="198" t="s">
        <v>416</v>
      </c>
    </row>
    <row r="224" spans="2:10">
      <c r="B224" s="276" t="s">
        <v>191</v>
      </c>
      <c r="C224" s="388" t="s">
        <v>50</v>
      </c>
      <c r="D224" s="53" t="s">
        <v>235</v>
      </c>
      <c r="E224" s="198">
        <v>656</v>
      </c>
      <c r="F224" s="198" t="s">
        <v>236</v>
      </c>
      <c r="G224" s="200">
        <v>0.5</v>
      </c>
      <c r="H224" s="202">
        <v>43357</v>
      </c>
      <c r="I224" s="203">
        <v>43435</v>
      </c>
      <c r="J224" s="198" t="s">
        <v>416</v>
      </c>
    </row>
    <row r="225" spans="2:10">
      <c r="B225" s="276" t="s">
        <v>191</v>
      </c>
      <c r="C225" s="388" t="s">
        <v>50</v>
      </c>
      <c r="D225" s="53" t="s">
        <v>112</v>
      </c>
      <c r="E225" s="198">
        <v>220</v>
      </c>
      <c r="F225" s="198" t="s">
        <v>236</v>
      </c>
      <c r="G225" s="200">
        <v>0.5</v>
      </c>
      <c r="H225" s="202">
        <v>43357</v>
      </c>
      <c r="I225" s="203">
        <v>43435</v>
      </c>
      <c r="J225" s="198" t="s">
        <v>416</v>
      </c>
    </row>
    <row r="226" spans="2:10">
      <c r="B226" s="276" t="s">
        <v>191</v>
      </c>
      <c r="C226" s="388" t="s">
        <v>50</v>
      </c>
      <c r="D226" s="53" t="s">
        <v>238</v>
      </c>
      <c r="E226" s="198">
        <v>650</v>
      </c>
      <c r="F226" s="206" t="s">
        <v>237</v>
      </c>
      <c r="G226" s="200">
        <v>0.5</v>
      </c>
      <c r="H226" s="202">
        <v>43357</v>
      </c>
      <c r="I226" s="203">
        <v>43070</v>
      </c>
      <c r="J226" s="198" t="s">
        <v>416</v>
      </c>
    </row>
    <row r="227" spans="2:10">
      <c r="B227" s="276" t="s">
        <v>191</v>
      </c>
      <c r="C227" s="388" t="s">
        <v>50</v>
      </c>
      <c r="D227" s="53" t="s">
        <v>239</v>
      </c>
      <c r="E227" s="198">
        <v>440</v>
      </c>
      <c r="F227" s="198" t="s">
        <v>240</v>
      </c>
      <c r="G227" s="200">
        <v>0.5</v>
      </c>
      <c r="H227" s="202">
        <v>43357</v>
      </c>
      <c r="I227" s="203">
        <v>43070</v>
      </c>
      <c r="J227" s="198" t="s">
        <v>416</v>
      </c>
    </row>
    <row r="228" spans="2:10">
      <c r="B228" s="276" t="s">
        <v>191</v>
      </c>
      <c r="C228" s="388" t="s">
        <v>50</v>
      </c>
      <c r="D228" s="17" t="s">
        <v>241</v>
      </c>
      <c r="E228" s="198">
        <v>319</v>
      </c>
      <c r="F228" s="198" t="s">
        <v>240</v>
      </c>
      <c r="G228" s="200">
        <v>0.15</v>
      </c>
      <c r="H228" s="202">
        <v>43357</v>
      </c>
      <c r="I228" s="203">
        <v>44166</v>
      </c>
      <c r="J228" s="198" t="s">
        <v>416</v>
      </c>
    </row>
    <row r="229" spans="2:10">
      <c r="B229" s="276" t="s">
        <v>191</v>
      </c>
      <c r="C229" s="388" t="s">
        <v>50</v>
      </c>
      <c r="D229" s="17" t="s">
        <v>242</v>
      </c>
      <c r="E229" s="198">
        <v>73</v>
      </c>
      <c r="F229" s="198" t="s">
        <v>240</v>
      </c>
      <c r="G229" s="200">
        <v>0.15</v>
      </c>
      <c r="H229" s="202">
        <v>43357</v>
      </c>
      <c r="I229" s="203">
        <v>44166</v>
      </c>
      <c r="J229" s="198" t="s">
        <v>416</v>
      </c>
    </row>
    <row r="230" spans="2:10">
      <c r="B230" s="276" t="s">
        <v>191</v>
      </c>
      <c r="C230" s="388" t="s">
        <v>50</v>
      </c>
      <c r="D230" s="17" t="s">
        <v>243</v>
      </c>
      <c r="E230" s="198">
        <v>165</v>
      </c>
      <c r="F230" s="198" t="s">
        <v>240</v>
      </c>
      <c r="G230" s="200">
        <v>0.15</v>
      </c>
      <c r="H230" s="202">
        <v>43357</v>
      </c>
      <c r="I230" s="203">
        <v>44166</v>
      </c>
      <c r="J230" s="198" t="s">
        <v>416</v>
      </c>
    </row>
    <row r="231" spans="2:10">
      <c r="B231" s="276" t="s">
        <v>191</v>
      </c>
      <c r="C231" s="388" t="s">
        <v>50</v>
      </c>
      <c r="D231" s="602" t="s">
        <v>447</v>
      </c>
      <c r="E231" s="327">
        <v>506</v>
      </c>
      <c r="F231" s="198" t="s">
        <v>240</v>
      </c>
      <c r="G231" s="328">
        <v>0.15</v>
      </c>
      <c r="H231" s="329">
        <v>43426</v>
      </c>
      <c r="I231" s="203">
        <v>43435</v>
      </c>
      <c r="J231" s="198" t="s">
        <v>416</v>
      </c>
    </row>
    <row r="232" spans="2:10">
      <c r="B232" s="276" t="s">
        <v>191</v>
      </c>
      <c r="C232" s="388" t="s">
        <v>50</v>
      </c>
      <c r="D232" s="340" t="s">
        <v>357</v>
      </c>
      <c r="E232" s="341"/>
      <c r="F232" s="341"/>
      <c r="G232" s="342"/>
      <c r="H232" s="343"/>
      <c r="I232" s="345"/>
      <c r="J232" s="341"/>
    </row>
    <row r="233" spans="2:10">
      <c r="B233" s="276" t="s">
        <v>191</v>
      </c>
      <c r="C233" s="388" t="s">
        <v>50</v>
      </c>
      <c r="D233" s="340" t="s">
        <v>357</v>
      </c>
      <c r="E233" s="341"/>
      <c r="F233" s="341"/>
      <c r="G233" s="342"/>
      <c r="H233" s="343"/>
      <c r="I233" s="345"/>
      <c r="J233" s="341"/>
    </row>
    <row r="234" spans="2:10">
      <c r="B234" s="276" t="s">
        <v>191</v>
      </c>
      <c r="C234" s="388" t="s">
        <v>50</v>
      </c>
      <c r="D234" s="340" t="s">
        <v>357</v>
      </c>
      <c r="E234" s="341"/>
      <c r="F234" s="341"/>
      <c r="G234" s="342"/>
      <c r="H234" s="343"/>
      <c r="I234" s="345"/>
      <c r="J234" s="341"/>
    </row>
    <row r="235" spans="2:10">
      <c r="B235" s="276" t="s">
        <v>191</v>
      </c>
      <c r="C235" s="388" t="s">
        <v>50</v>
      </c>
      <c r="D235" s="340" t="s">
        <v>357</v>
      </c>
      <c r="E235" s="341"/>
      <c r="F235" s="341"/>
      <c r="G235" s="342"/>
      <c r="H235" s="343"/>
      <c r="I235" s="345"/>
      <c r="J235" s="341"/>
    </row>
    <row r="236" spans="2:10">
      <c r="B236" s="276" t="s">
        <v>191</v>
      </c>
      <c r="C236" s="389" t="s">
        <v>264</v>
      </c>
      <c r="D236" s="17" t="s">
        <v>244</v>
      </c>
      <c r="E236" s="198">
        <v>678</v>
      </c>
      <c r="F236" s="198" t="s">
        <v>245</v>
      </c>
      <c r="G236" s="200">
        <v>0.5</v>
      </c>
      <c r="H236" s="202">
        <v>43357</v>
      </c>
      <c r="I236" s="203">
        <v>43435</v>
      </c>
      <c r="J236" s="198" t="s">
        <v>416</v>
      </c>
    </row>
    <row r="237" spans="2:10">
      <c r="B237" s="276" t="s">
        <v>191</v>
      </c>
      <c r="C237" s="389" t="s">
        <v>264</v>
      </c>
      <c r="D237" s="17" t="s">
        <v>309</v>
      </c>
      <c r="E237" s="198">
        <v>1283</v>
      </c>
      <c r="F237" s="198" t="s">
        <v>245</v>
      </c>
      <c r="G237" s="200">
        <v>0.5</v>
      </c>
      <c r="H237" s="202">
        <v>43357</v>
      </c>
      <c r="I237" s="203">
        <v>43435</v>
      </c>
      <c r="J237" s="198" t="s">
        <v>416</v>
      </c>
    </row>
    <row r="238" spans="2:10">
      <c r="B238" s="276" t="s">
        <v>191</v>
      </c>
      <c r="C238" s="389" t="s">
        <v>264</v>
      </c>
      <c r="D238" s="17" t="s">
        <v>179</v>
      </c>
      <c r="E238" s="198">
        <v>110</v>
      </c>
      <c r="F238" s="198" t="s">
        <v>245</v>
      </c>
      <c r="G238" s="200">
        <v>0.5</v>
      </c>
      <c r="H238" s="202">
        <v>43357</v>
      </c>
      <c r="I238" s="203">
        <v>43435</v>
      </c>
      <c r="J238" s="198" t="s">
        <v>416</v>
      </c>
    </row>
    <row r="239" spans="2:10">
      <c r="B239" s="276" t="s">
        <v>191</v>
      </c>
      <c r="C239" s="389" t="s">
        <v>264</v>
      </c>
      <c r="D239" s="17" t="s">
        <v>180</v>
      </c>
      <c r="E239" s="198">
        <v>2935</v>
      </c>
      <c r="F239" s="198" t="s">
        <v>245</v>
      </c>
      <c r="G239" s="200">
        <v>0.5</v>
      </c>
      <c r="H239" s="202">
        <v>43357</v>
      </c>
      <c r="I239" s="203">
        <v>43435</v>
      </c>
      <c r="J239" s="198" t="s">
        <v>416</v>
      </c>
    </row>
    <row r="240" spans="2:10">
      <c r="B240" s="276" t="s">
        <v>191</v>
      </c>
      <c r="C240" s="389" t="s">
        <v>264</v>
      </c>
      <c r="D240" s="17" t="s">
        <v>181</v>
      </c>
      <c r="E240" s="198">
        <v>1467</v>
      </c>
      <c r="F240" s="198" t="s">
        <v>245</v>
      </c>
      <c r="G240" s="200">
        <v>0.5</v>
      </c>
      <c r="H240" s="202">
        <v>43357</v>
      </c>
      <c r="I240" s="203">
        <v>43435</v>
      </c>
      <c r="J240" s="198" t="s">
        <v>416</v>
      </c>
    </row>
    <row r="241" spans="2:10">
      <c r="B241" s="276" t="s">
        <v>191</v>
      </c>
      <c r="C241" s="389" t="s">
        <v>264</v>
      </c>
      <c r="D241" s="17" t="s">
        <v>374</v>
      </c>
      <c r="E241" s="198">
        <v>1833</v>
      </c>
      <c r="F241" s="198" t="s">
        <v>375</v>
      </c>
      <c r="G241" s="200">
        <v>0.5</v>
      </c>
      <c r="H241" s="202">
        <v>43375</v>
      </c>
      <c r="I241" s="203">
        <v>43435</v>
      </c>
      <c r="J241" s="198" t="s">
        <v>416</v>
      </c>
    </row>
    <row r="242" spans="2:10">
      <c r="B242" s="276" t="s">
        <v>191</v>
      </c>
      <c r="C242" s="389" t="s">
        <v>264</v>
      </c>
      <c r="D242" s="340" t="s">
        <v>357</v>
      </c>
      <c r="E242" s="341"/>
      <c r="F242" s="341"/>
      <c r="G242" s="342"/>
      <c r="H242" s="343"/>
      <c r="I242" s="345"/>
      <c r="J242" s="341"/>
    </row>
    <row r="243" spans="2:10">
      <c r="B243" s="276" t="s">
        <v>191</v>
      </c>
      <c r="C243" s="389" t="s">
        <v>264</v>
      </c>
      <c r="D243" s="340" t="s">
        <v>357</v>
      </c>
      <c r="E243" s="341"/>
      <c r="F243" s="341"/>
      <c r="G243" s="342"/>
      <c r="H243" s="343"/>
      <c r="I243" s="345"/>
      <c r="J243" s="341"/>
    </row>
    <row r="244" spans="2:10">
      <c r="B244" s="276" t="s">
        <v>191</v>
      </c>
      <c r="C244" s="389" t="s">
        <v>264</v>
      </c>
      <c r="D244" s="340" t="s">
        <v>357</v>
      </c>
      <c r="E244" s="341"/>
      <c r="F244" s="341"/>
      <c r="G244" s="342"/>
      <c r="H244" s="343"/>
      <c r="I244" s="345"/>
      <c r="J244" s="341"/>
    </row>
    <row r="245" spans="2:10">
      <c r="B245" s="276" t="s">
        <v>191</v>
      </c>
      <c r="C245" s="389" t="s">
        <v>264</v>
      </c>
      <c r="D245" s="340" t="s">
        <v>357</v>
      </c>
      <c r="E245" s="341"/>
      <c r="F245" s="341"/>
      <c r="G245" s="342"/>
      <c r="H245" s="343"/>
      <c r="I245" s="345"/>
      <c r="J245" s="341"/>
    </row>
    <row r="246" spans="2:10">
      <c r="B246" s="276" t="s">
        <v>191</v>
      </c>
      <c r="C246" s="389" t="s">
        <v>264</v>
      </c>
      <c r="D246" s="340" t="s">
        <v>357</v>
      </c>
      <c r="E246" s="341"/>
      <c r="F246" s="341"/>
      <c r="G246" s="342"/>
      <c r="H246" s="343"/>
      <c r="I246" s="345"/>
      <c r="J246" s="341"/>
    </row>
    <row r="247" spans="2:10">
      <c r="B247" s="276" t="s">
        <v>191</v>
      </c>
      <c r="C247" s="456" t="s">
        <v>424</v>
      </c>
      <c r="D247" s="340" t="s">
        <v>357</v>
      </c>
      <c r="E247" s="341"/>
      <c r="F247" s="341"/>
      <c r="G247" s="342"/>
      <c r="H247" s="341"/>
      <c r="I247" s="341"/>
      <c r="J247" s="341"/>
    </row>
    <row r="248" spans="2:10">
      <c r="B248" s="276" t="s">
        <v>191</v>
      </c>
      <c r="C248" s="456" t="s">
        <v>424</v>
      </c>
      <c r="D248" s="340" t="s">
        <v>357</v>
      </c>
      <c r="E248" s="341"/>
      <c r="F248" s="341"/>
      <c r="G248" s="342"/>
      <c r="H248" s="341"/>
      <c r="I248" s="341"/>
      <c r="J248" s="341"/>
    </row>
    <row r="249" spans="2:10">
      <c r="B249" s="276" t="s">
        <v>191</v>
      </c>
      <c r="C249" s="456" t="s">
        <v>424</v>
      </c>
      <c r="D249" s="340" t="s">
        <v>357</v>
      </c>
      <c r="E249" s="341"/>
      <c r="F249" s="341"/>
      <c r="G249" s="342"/>
      <c r="H249" s="341"/>
      <c r="I249" s="341"/>
      <c r="J249" s="341"/>
    </row>
    <row r="250" spans="2:10">
      <c r="B250" s="276" t="s">
        <v>191</v>
      </c>
      <c r="C250" s="456" t="s">
        <v>424</v>
      </c>
      <c r="D250" s="340" t="s">
        <v>357</v>
      </c>
      <c r="E250" s="341"/>
      <c r="F250" s="341"/>
      <c r="G250" s="342"/>
      <c r="H250" s="341"/>
      <c r="I250" s="341"/>
      <c r="J250" s="341"/>
    </row>
    <row r="251" spans="2:10">
      <c r="B251" s="276" t="s">
        <v>191</v>
      </c>
      <c r="C251" s="456" t="s">
        <v>424</v>
      </c>
      <c r="D251" s="340" t="s">
        <v>357</v>
      </c>
      <c r="E251" s="341"/>
      <c r="F251" s="341"/>
      <c r="G251" s="342"/>
      <c r="H251" s="341"/>
      <c r="I251" s="341"/>
      <c r="J251" s="341"/>
    </row>
    <row r="252" spans="2:10">
      <c r="B252" s="276" t="s">
        <v>191</v>
      </c>
      <c r="C252" s="456" t="s">
        <v>424</v>
      </c>
      <c r="D252" s="340" t="s">
        <v>357</v>
      </c>
      <c r="E252" s="341"/>
      <c r="F252" s="341"/>
      <c r="G252" s="342"/>
      <c r="H252" s="341"/>
      <c r="I252" s="341"/>
      <c r="J252" s="341"/>
    </row>
    <row r="253" spans="2:10">
      <c r="B253" s="276" t="s">
        <v>191</v>
      </c>
      <c r="C253" s="456" t="s">
        <v>424</v>
      </c>
      <c r="D253" s="340" t="s">
        <v>357</v>
      </c>
      <c r="E253" s="341"/>
      <c r="F253" s="341"/>
      <c r="G253" s="342"/>
      <c r="H253" s="341"/>
      <c r="I253" s="341"/>
      <c r="J253" s="341"/>
    </row>
  </sheetData>
  <autoFilter ref="B1:I253"/>
  <sortState ref="D31:J35">
    <sortCondition ref="D31"/>
  </sortState>
  <mergeCells count="1">
    <mergeCell ref="L6:Q8"/>
  </mergeCells>
  <dataValidations count="1">
    <dataValidation type="list" allowBlank="1" showInputMessage="1" showErrorMessage="1" sqref="D17:D25">
      <formula1>Halocarbures_Kyoto</formula1>
    </dataValidation>
  </dataValidations>
  <hyperlinks>
    <hyperlink ref="L9" r:id="rId1"/>
    <hyperlink ref="J21" r:id="rId2"/>
    <hyperlink ref="J20" r:id="rId3"/>
    <hyperlink ref="J18" r:id="rId4"/>
  </hyperlinks>
  <pageMargins left="0.7" right="0.7" top="0.75" bottom="0.75" header="0.3" footer="0.3"/>
  <pageSetup paperSize="9" orientation="portrait" r:id="rId5"/>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6AB38"/>
  </sheetPr>
  <dimension ref="A2:AQ829"/>
  <sheetViews>
    <sheetView showGridLines="0" tabSelected="1" zoomScale="85" zoomScaleNormal="85" zoomScaleSheetLayoutView="85" workbookViewId="0">
      <pane ySplit="7" topLeftCell="A619" activePane="bottomLeft" state="frozen"/>
      <selection pane="bottomLeft" activeCell="F634" sqref="F634"/>
    </sheetView>
  </sheetViews>
  <sheetFormatPr baseColWidth="10" defaultColWidth="11.42578125" defaultRowHeight="12"/>
  <cols>
    <col min="1" max="1" width="2" style="1" customWidth="1"/>
    <col min="2" max="2" width="2.42578125" style="9" customWidth="1"/>
    <col min="3" max="3" width="63.7109375" style="1" customWidth="1"/>
    <col min="4" max="4" width="25.42578125" style="1" customWidth="1"/>
    <col min="5" max="5" width="24.42578125" style="1" customWidth="1"/>
    <col min="6" max="6" width="17.85546875" style="1" customWidth="1"/>
    <col min="7" max="7" width="20.7109375" style="178" bestFit="1" customWidth="1"/>
    <col min="8" max="8" width="17.140625" style="1" customWidth="1"/>
    <col min="9" max="9" width="17.42578125" style="1" customWidth="1"/>
    <col min="10" max="10" width="13.42578125" style="1" customWidth="1"/>
    <col min="11" max="11" width="12.140625" style="178" customWidth="1"/>
    <col min="12" max="13" width="11.42578125" style="1"/>
    <col min="14" max="14" width="12.85546875" style="178" customWidth="1"/>
    <col min="15" max="15" width="11.42578125" style="1"/>
    <col min="16" max="16" width="24.7109375" style="1" customWidth="1"/>
    <col min="17" max="27" width="11.42578125" style="1"/>
    <col min="28" max="28" width="26" style="1" customWidth="1"/>
    <col min="29" max="32" width="11.42578125" style="1"/>
    <col min="33" max="33" width="7" style="1" customWidth="1"/>
    <col min="34" max="16384" width="11.42578125" style="1"/>
  </cols>
  <sheetData>
    <row r="2" spans="3:20" s="14" customFormat="1">
      <c r="G2" s="13"/>
      <c r="K2" s="13"/>
      <c r="N2" s="13"/>
    </row>
    <row r="3" spans="3:20" s="14" customFormat="1" ht="23.25">
      <c r="C3" s="636" t="s">
        <v>336</v>
      </c>
      <c r="D3" s="636"/>
      <c r="E3" s="636"/>
      <c r="F3" s="636"/>
      <c r="G3" s="636"/>
      <c r="H3" s="636"/>
      <c r="I3" s="636"/>
      <c r="J3" s="636"/>
      <c r="K3" s="636"/>
      <c r="L3" s="636"/>
      <c r="M3" s="294"/>
      <c r="N3" s="13"/>
    </row>
    <row r="4" spans="3:20" s="14" customFormat="1" ht="23.25">
      <c r="C4" s="637" t="s">
        <v>426</v>
      </c>
      <c r="D4" s="638"/>
      <c r="E4" s="638"/>
      <c r="F4" s="638"/>
      <c r="G4" s="638"/>
      <c r="H4" s="638"/>
      <c r="I4" s="638"/>
      <c r="J4" s="638"/>
      <c r="K4" s="638"/>
      <c r="L4" s="638"/>
      <c r="N4" s="13"/>
    </row>
    <row r="5" spans="3:20" s="58" customFormat="1" ht="24">
      <c r="C5" s="277" t="s">
        <v>58</v>
      </c>
      <c r="D5" s="278" t="s">
        <v>59</v>
      </c>
      <c r="E5" s="279" t="s">
        <v>57</v>
      </c>
      <c r="F5" s="280" t="s">
        <v>124</v>
      </c>
      <c r="G5" s="281" t="s">
        <v>88</v>
      </c>
      <c r="H5" s="282" t="s">
        <v>74</v>
      </c>
      <c r="I5" s="283" t="s">
        <v>75</v>
      </c>
      <c r="J5" s="615" t="s">
        <v>12</v>
      </c>
      <c r="K5" s="616"/>
      <c r="L5" s="616"/>
      <c r="M5" s="59"/>
      <c r="N5" s="186"/>
      <c r="O5" s="59"/>
      <c r="P5" s="59"/>
      <c r="Q5" s="59"/>
      <c r="R5" s="59"/>
      <c r="S5" s="59"/>
      <c r="T5" s="59"/>
    </row>
    <row r="6" spans="3:20" s="58" customFormat="1">
      <c r="C6" s="55"/>
      <c r="D6" s="55"/>
      <c r="E6" s="55"/>
      <c r="F6" s="55"/>
      <c r="G6" s="162"/>
      <c r="H6" s="55"/>
      <c r="I6" s="55"/>
      <c r="J6" s="55"/>
      <c r="K6" s="179"/>
      <c r="L6" s="59"/>
      <c r="M6" s="59"/>
      <c r="N6" s="186"/>
      <c r="O6" s="59"/>
      <c r="P6" s="59"/>
      <c r="Q6" s="59"/>
      <c r="R6" s="59"/>
      <c r="S6" s="59"/>
      <c r="T6" s="59"/>
    </row>
    <row r="7" spans="3:20" s="58" customFormat="1">
      <c r="C7" s="161" t="s">
        <v>322</v>
      </c>
      <c r="D7" s="61"/>
      <c r="E7" s="61"/>
      <c r="F7" s="61"/>
      <c r="G7" s="163"/>
      <c r="H7" s="61"/>
      <c r="I7" s="61"/>
      <c r="J7" s="57"/>
      <c r="K7" s="179"/>
      <c r="L7" s="59"/>
      <c r="M7" s="59"/>
      <c r="N7" s="186"/>
      <c r="O7" s="59"/>
      <c r="P7" s="59"/>
      <c r="Q7" s="59"/>
      <c r="R7" s="59"/>
      <c r="S7" s="59"/>
      <c r="T7" s="59"/>
    </row>
    <row r="8" spans="3:20" s="14" customFormat="1" ht="31.5" customHeight="1">
      <c r="G8" s="13"/>
      <c r="K8" s="13"/>
      <c r="N8" s="13"/>
    </row>
    <row r="9" spans="3:20" s="14" customFormat="1" ht="23.25">
      <c r="C9" s="639" t="s">
        <v>58</v>
      </c>
      <c r="D9" s="639"/>
      <c r="E9" s="639"/>
      <c r="F9" s="639"/>
      <c r="G9" s="639"/>
      <c r="H9" s="639"/>
      <c r="I9" s="639"/>
      <c r="J9" s="639"/>
      <c r="K9" s="639"/>
      <c r="L9" s="639"/>
      <c r="M9"/>
      <c r="N9"/>
    </row>
    <row r="10" spans="3:20" s="14" customFormat="1">
      <c r="G10"/>
      <c r="H10"/>
      <c r="I10"/>
      <c r="J10"/>
      <c r="K10"/>
      <c r="L10"/>
      <c r="M10"/>
      <c r="N10"/>
    </row>
    <row r="11" spans="3:20" s="14" customFormat="1">
      <c r="C11" s="160"/>
      <c r="G11" s="13"/>
      <c r="K11" s="13"/>
      <c r="N11" s="13"/>
    </row>
    <row r="12" spans="3:20" s="14" customFormat="1">
      <c r="G12" s="13"/>
      <c r="K12" s="13"/>
      <c r="N12" s="13"/>
    </row>
    <row r="13" spans="3:20" s="14" customFormat="1">
      <c r="D13" s="239"/>
      <c r="E13" s="239" t="s">
        <v>138</v>
      </c>
      <c r="F13" s="239"/>
      <c r="G13" s="239"/>
      <c r="H13" s="239"/>
      <c r="I13" s="239"/>
      <c r="J13" s="239"/>
      <c r="K13" s="241"/>
      <c r="L13" s="241"/>
      <c r="N13" s="13"/>
    </row>
    <row r="14" spans="3:20" s="14" customFormat="1">
      <c r="G14" s="13"/>
      <c r="K14" s="13"/>
      <c r="N14" s="13"/>
    </row>
    <row r="15" spans="3:20" s="14" customFormat="1">
      <c r="C15" s="15" t="s">
        <v>182</v>
      </c>
      <c r="G15" s="76" t="s">
        <v>358</v>
      </c>
      <c r="I15" s="47" t="s">
        <v>65</v>
      </c>
      <c r="J15" s="47"/>
      <c r="K15" s="180"/>
      <c r="M15" s="47" t="s">
        <v>393</v>
      </c>
      <c r="N15" s="180"/>
      <c r="P15" s="15" t="s">
        <v>115</v>
      </c>
    </row>
    <row r="16" spans="3:20" s="319" customFormat="1">
      <c r="C16" s="313" t="s">
        <v>67</v>
      </c>
      <c r="D16" s="315" t="s">
        <v>344</v>
      </c>
      <c r="E16" s="315" t="s">
        <v>343</v>
      </c>
      <c r="F16" s="353"/>
      <c r="G16" s="314" t="s">
        <v>265</v>
      </c>
      <c r="I16" s="315" t="s">
        <v>329</v>
      </c>
      <c r="J16" s="315" t="s">
        <v>330</v>
      </c>
      <c r="K16" s="316" t="s">
        <v>265</v>
      </c>
      <c r="M16" s="315" t="s">
        <v>331</v>
      </c>
      <c r="N16" s="320" t="s">
        <v>265</v>
      </c>
      <c r="P16" s="641" t="s">
        <v>167</v>
      </c>
      <c r="Q16" s="641"/>
      <c r="R16" s="641"/>
      <c r="S16" s="641"/>
      <c r="T16" s="641"/>
    </row>
    <row r="17" spans="1:20" s="14" customFormat="1" ht="11.65" customHeight="1">
      <c r="C17" s="53" t="s">
        <v>128</v>
      </c>
      <c r="D17" s="286"/>
      <c r="E17" s="348">
        <f>_xlfn.IFNA(VLOOKUP($C17,'Facteurs d''émission'!$D$2:$I$344,2,FALSE),"Non présent dans la base")</f>
        <v>0.24299999999999999</v>
      </c>
      <c r="F17"/>
      <c r="G17" s="5">
        <f>D17*E17</f>
        <v>0</v>
      </c>
      <c r="I17" s="298">
        <f>_xlfn.IFNA(VLOOKUP($C17,'Facteurs d''émission'!$D$2:$I$344,4,FALSE),"Non présent dans la base")</f>
        <v>0.05</v>
      </c>
      <c r="J17" s="290">
        <v>0.01</v>
      </c>
      <c r="K17" s="5">
        <f>G17*(1-(1-I17)*(1-J17))</f>
        <v>0</v>
      </c>
      <c r="L17" s="14" t="str">
        <f>IF(D17*COUNTA(J17)&gt;0,"ok","")</f>
        <v/>
      </c>
      <c r="M17" s="292"/>
      <c r="N17" s="5">
        <f>G17*M17</f>
        <v>0</v>
      </c>
      <c r="P17" s="655" t="s">
        <v>319</v>
      </c>
      <c r="Q17" s="704"/>
      <c r="R17" s="704"/>
      <c r="S17" s="704"/>
      <c r="T17" s="705"/>
    </row>
    <row r="18" spans="1:20" s="14" customFormat="1">
      <c r="C18" s="17" t="s">
        <v>68</v>
      </c>
      <c r="D18" s="286"/>
      <c r="E18" s="348">
        <f>_xlfn.IFNA(VLOOKUP($C18,'Facteurs d''émission'!$D$2:$I$344,2,FALSE),"Non renseigné")</f>
        <v>0.32400000000000001</v>
      </c>
      <c r="F18"/>
      <c r="G18" s="5">
        <f>D18*E18</f>
        <v>0</v>
      </c>
      <c r="I18" s="298">
        <f>_xlfn.IFNA(VLOOKUP($C18,'Facteurs d''émission'!$D$2:$I$344,4,FALSE),"Non présent dans la base")</f>
        <v>0.05</v>
      </c>
      <c r="J18" s="291"/>
      <c r="K18" s="5">
        <f>G18*(1-(1-I18)*(1-J18))</f>
        <v>0</v>
      </c>
      <c r="L18" s="14" t="str">
        <f>IF(D18*J18&gt;0,1,"")</f>
        <v/>
      </c>
      <c r="M18" s="292"/>
      <c r="N18" s="5">
        <f>G18*M18</f>
        <v>0</v>
      </c>
      <c r="P18" s="706"/>
      <c r="Q18" s="707"/>
      <c r="R18" s="707"/>
      <c r="S18" s="707"/>
      <c r="T18" s="708"/>
    </row>
    <row r="19" spans="1:20" s="14" customFormat="1">
      <c r="C19" s="17" t="s">
        <v>14</v>
      </c>
      <c r="D19" s="286"/>
      <c r="E19" s="348">
        <f>_xlfn.IFNA(VLOOKUP($C19,'Facteurs d''émission'!$D$2:$I$344,2,FALSE),"Non renseigné")</f>
        <v>0.32400000000000001</v>
      </c>
      <c r="F19"/>
      <c r="G19" s="5">
        <f>D19*E19</f>
        <v>0</v>
      </c>
      <c r="I19" s="298">
        <f>_xlfn.IFNA(VLOOKUP($C19,'Facteurs d''émission'!$D$2:$I$344,4,FALSE),"Non présent dans la base")</f>
        <v>0.05</v>
      </c>
      <c r="J19" s="291"/>
      <c r="K19" s="5">
        <f>G19*(1-(1-I19)*(1-J19))</f>
        <v>0</v>
      </c>
      <c r="L19" s="14" t="str">
        <f>IF(D19*J19&gt;0,1,"")</f>
        <v/>
      </c>
      <c r="M19" s="292"/>
      <c r="N19" s="5">
        <f>G19*M19</f>
        <v>0</v>
      </c>
      <c r="P19" s="706"/>
      <c r="Q19" s="707"/>
      <c r="R19" s="707"/>
      <c r="S19" s="707"/>
      <c r="T19" s="708"/>
    </row>
    <row r="20" spans="1:20" s="14" customFormat="1">
      <c r="C20" s="64" t="s">
        <v>342</v>
      </c>
      <c r="D20" s="287"/>
      <c r="E20" s="351"/>
      <c r="F20"/>
      <c r="G20" s="5">
        <f t="shared" ref="G20:G23" si="0">D20*E20</f>
        <v>0</v>
      </c>
      <c r="I20" s="288"/>
      <c r="J20" s="289"/>
      <c r="K20" s="101">
        <f>G20*(1-(1-I20)*(1-J20))</f>
        <v>0</v>
      </c>
      <c r="L20" s="14" t="str">
        <f>IF(D20*J20&gt;0,1,"")</f>
        <v/>
      </c>
      <c r="M20" s="293"/>
      <c r="N20" s="101">
        <f>G20*M20</f>
        <v>0</v>
      </c>
      <c r="P20" s="706"/>
      <c r="Q20" s="707"/>
      <c r="R20" s="707"/>
      <c r="S20" s="707"/>
      <c r="T20" s="708"/>
    </row>
    <row r="21" spans="1:20" s="14" customFormat="1">
      <c r="C21" s="17" t="s">
        <v>387</v>
      </c>
      <c r="D21" s="374"/>
      <c r="E21" s="348">
        <f>_xlfn.IFNA(VLOOKUP($C21,'Facteurs d''émission'!$D$2:$I$344,2,FALSE),"Non renseigné")</f>
        <v>3.04E-2</v>
      </c>
      <c r="F21"/>
      <c r="G21" s="5">
        <f t="shared" si="0"/>
        <v>0</v>
      </c>
      <c r="I21" s="110">
        <f>_xlfn.IFNA(VLOOKUP($C21,'Facteurs d''émission'!$D$2:$I$344,4,FALSE),"Non présent dans la base")</f>
        <v>0.5</v>
      </c>
      <c r="J21" s="291"/>
      <c r="K21" s="5">
        <f t="shared" ref="K21:K24" si="1">G21*(1-(1-I21)*(1-J21))</f>
        <v>0</v>
      </c>
      <c r="M21" s="309"/>
      <c r="N21" s="101">
        <f t="shared" ref="N21:N24" si="2">G21*M21</f>
        <v>0</v>
      </c>
      <c r="P21" s="706"/>
      <c r="Q21" s="707"/>
      <c r="R21" s="707"/>
      <c r="S21" s="707"/>
      <c r="T21" s="708"/>
    </row>
    <row r="22" spans="1:20" s="14" customFormat="1">
      <c r="C22" s="17" t="s">
        <v>357</v>
      </c>
      <c r="D22" s="374"/>
      <c r="E22" s="348">
        <f>_xlfn.IFNA(VLOOKUP($C22,'Facteurs d''émission'!$D$2:$I$344,2,FALSE),"Non renseigné")</f>
        <v>0</v>
      </c>
      <c r="F22"/>
      <c r="G22" s="5">
        <f t="shared" si="0"/>
        <v>0</v>
      </c>
      <c r="I22" s="110">
        <f>_xlfn.IFNA(VLOOKUP($C22,'Facteurs d''émission'!$D$2:$I$344,4,FALSE),"Non présent dans la base")</f>
        <v>0</v>
      </c>
      <c r="J22" s="291"/>
      <c r="K22" s="5">
        <f t="shared" si="1"/>
        <v>0</v>
      </c>
      <c r="M22" s="309"/>
      <c r="N22" s="101">
        <f t="shared" si="2"/>
        <v>0</v>
      </c>
      <c r="P22" s="706"/>
      <c r="Q22" s="707"/>
      <c r="R22" s="707"/>
      <c r="S22" s="707"/>
      <c r="T22" s="708"/>
    </row>
    <row r="23" spans="1:20" s="14" customFormat="1">
      <c r="C23" s="17" t="s">
        <v>357</v>
      </c>
      <c r="D23" s="374"/>
      <c r="E23" s="348">
        <f>_xlfn.IFNA(VLOOKUP($C23,'Facteurs d''émission'!$D$2:$I$344,2,FALSE),"Non renseigné")</f>
        <v>0</v>
      </c>
      <c r="F23"/>
      <c r="G23" s="5">
        <f t="shared" si="0"/>
        <v>0</v>
      </c>
      <c r="I23" s="110">
        <f>_xlfn.IFNA(VLOOKUP($C23,'Facteurs d''émission'!$D$2:$I$344,4,FALSE),"Non présent dans la base")</f>
        <v>0</v>
      </c>
      <c r="J23" s="291"/>
      <c r="K23" s="5">
        <f t="shared" si="1"/>
        <v>0</v>
      </c>
      <c r="M23" s="309"/>
      <c r="N23" s="101">
        <f t="shared" si="2"/>
        <v>0</v>
      </c>
      <c r="P23" s="706"/>
      <c r="Q23" s="707"/>
      <c r="R23" s="707"/>
      <c r="S23" s="707"/>
      <c r="T23" s="708"/>
    </row>
    <row r="24" spans="1:20" s="14" customFormat="1">
      <c r="C24" s="17" t="s">
        <v>357</v>
      </c>
      <c r="D24" s="374"/>
      <c r="E24" s="348">
        <f>_xlfn.IFNA(VLOOKUP($C24,'Facteurs d''émission'!$D$2:$I$344,2,FALSE),"Non renseigné")</f>
        <v>0</v>
      </c>
      <c r="F24"/>
      <c r="G24" s="5">
        <f>D24*E24</f>
        <v>0</v>
      </c>
      <c r="I24" s="110">
        <f>_xlfn.IFNA(VLOOKUP($C24,'Facteurs d''émission'!$D$2:$I$344,4,FALSE),"Non présent dans la base")</f>
        <v>0</v>
      </c>
      <c r="J24" s="291"/>
      <c r="K24" s="5">
        <f t="shared" si="1"/>
        <v>0</v>
      </c>
      <c r="M24" s="309"/>
      <c r="N24" s="101">
        <f t="shared" si="2"/>
        <v>0</v>
      </c>
      <c r="P24" s="709"/>
      <c r="Q24" s="710"/>
      <c r="R24" s="710"/>
      <c r="S24" s="710"/>
      <c r="T24" s="711"/>
    </row>
    <row r="25" spans="1:20" s="14" customFormat="1">
      <c r="C25" s="65" t="s">
        <v>26</v>
      </c>
      <c r="D25" s="376">
        <f>SUM(D17:D24)</f>
        <v>0</v>
      </c>
      <c r="E25" s="131"/>
      <c r="F25"/>
      <c r="G25" s="62">
        <f>SUM(G17:G24)</f>
        <v>0</v>
      </c>
      <c r="I25" s="627" t="str">
        <f>IF(COUNTA(D17:D20)&gt;COUNTIF(L17:L20,"ok"),"! Remplir une incertitude !","")</f>
        <v/>
      </c>
      <c r="J25" s="628"/>
      <c r="K25" s="67">
        <f>SUM(K17:K24)</f>
        <v>0</v>
      </c>
      <c r="M25" s="68"/>
      <c r="N25" s="67">
        <f>SUM(N17:N24)</f>
        <v>0</v>
      </c>
      <c r="P25" s="640" t="str">
        <f>IF(N25&gt;0,IF(#REF!="","Attention: vous devez planifier une action afin de remplir votre objectif",""),"")</f>
        <v/>
      </c>
      <c r="Q25" s="640"/>
      <c r="R25" s="640"/>
      <c r="S25" s="640"/>
      <c r="T25" s="640"/>
    </row>
    <row r="26" spans="1:20" s="14" customFormat="1">
      <c r="C26" s="15"/>
      <c r="G26" s="76"/>
      <c r="I26" s="77"/>
      <c r="J26" s="24"/>
      <c r="K26" s="76"/>
      <c r="N26" s="76"/>
      <c r="P26" s="16"/>
      <c r="Q26" s="16"/>
      <c r="R26" s="16"/>
      <c r="S26" s="16"/>
      <c r="T26" s="16"/>
    </row>
    <row r="27" spans="1:20" s="14" customFormat="1">
      <c r="C27" s="15"/>
      <c r="G27" s="76"/>
      <c r="I27" s="77"/>
      <c r="J27" s="24"/>
      <c r="K27" s="76"/>
      <c r="N27" s="76"/>
      <c r="P27" s="16"/>
      <c r="Q27" s="16"/>
      <c r="R27" s="16"/>
      <c r="S27" s="16"/>
      <c r="T27" s="16"/>
    </row>
    <row r="28" spans="1:20" s="14" customFormat="1">
      <c r="G28" s="13"/>
      <c r="K28" s="13"/>
      <c r="N28" s="13"/>
    </row>
    <row r="29" spans="1:20" s="14" customFormat="1">
      <c r="D29" s="239"/>
      <c r="E29" s="239" t="s">
        <v>95</v>
      </c>
      <c r="F29" s="239"/>
      <c r="G29" s="239"/>
      <c r="H29" s="239"/>
      <c r="I29" s="239"/>
      <c r="J29" s="239"/>
      <c r="K29" s="241"/>
      <c r="L29" s="241"/>
      <c r="N29" s="13"/>
    </row>
    <row r="30" spans="1:20" s="14" customFormat="1">
      <c r="G30" s="13"/>
      <c r="K30" s="13"/>
      <c r="N30" s="13"/>
    </row>
    <row r="31" spans="1:20" s="14" customFormat="1">
      <c r="C31" s="15" t="s">
        <v>134</v>
      </c>
      <c r="G31" s="76" t="s">
        <v>358</v>
      </c>
      <c r="I31" s="629" t="s">
        <v>65</v>
      </c>
      <c r="J31" s="629"/>
      <c r="K31" s="629"/>
      <c r="M31" s="75" t="s">
        <v>393</v>
      </c>
      <c r="N31" s="187"/>
      <c r="P31" s="15" t="s">
        <v>115</v>
      </c>
    </row>
    <row r="32" spans="1:20" s="318" customFormat="1" ht="24">
      <c r="A32" s="355"/>
      <c r="C32" s="313" t="s">
        <v>56</v>
      </c>
      <c r="D32" s="315" t="s">
        <v>347</v>
      </c>
      <c r="E32" s="315" t="s">
        <v>348</v>
      </c>
      <c r="F32" s="313" t="s">
        <v>326</v>
      </c>
      <c r="G32" s="314" t="s">
        <v>265</v>
      </c>
      <c r="I32" s="315" t="s">
        <v>329</v>
      </c>
      <c r="J32" s="315" t="s">
        <v>330</v>
      </c>
      <c r="K32" s="314" t="s">
        <v>265</v>
      </c>
      <c r="M32" s="315" t="s">
        <v>331</v>
      </c>
      <c r="N32" s="314" t="s">
        <v>265</v>
      </c>
      <c r="P32" s="641" t="s">
        <v>167</v>
      </c>
      <c r="Q32" s="641"/>
      <c r="R32" s="641"/>
      <c r="S32" s="641"/>
      <c r="T32" s="641"/>
    </row>
    <row r="33" spans="1:20" s="14" customFormat="1">
      <c r="A33" s="2"/>
      <c r="C33" s="197" t="s">
        <v>31</v>
      </c>
      <c r="D33" s="286"/>
      <c r="E33" s="348">
        <f>_xlfn.IFNA(VLOOKUP($C33,'Facteurs d''émission'!$D$2:$I$344,2,FALSE),"Non renseigné")</f>
        <v>6.4699999999999994E-2</v>
      </c>
      <c r="F33" s="291">
        <v>0.1</v>
      </c>
      <c r="G33" s="28">
        <f>D33*E33*(1+F33)</f>
        <v>0</v>
      </c>
      <c r="I33" s="298">
        <f>_xlfn.IFNA(VLOOKUP($C33,'Facteurs d''émission'!$D$2:$I$344,4,FALSE),"Non présent dans la base")</f>
        <v>0.1</v>
      </c>
      <c r="J33" s="290">
        <v>0.01</v>
      </c>
      <c r="K33" s="28">
        <f>G33*(1-(1-I33)*(1-J33))</f>
        <v>0</v>
      </c>
      <c r="L33" s="14" t="str">
        <f>IF(D33*COUNTA(J33)&gt;0,"ok","")</f>
        <v/>
      </c>
      <c r="M33" s="291"/>
      <c r="N33" s="28">
        <f>G33*M33</f>
        <v>0</v>
      </c>
      <c r="P33" s="655" t="s">
        <v>319</v>
      </c>
      <c r="Q33" s="656"/>
      <c r="R33" s="656"/>
      <c r="S33" s="656"/>
      <c r="T33" s="657"/>
    </row>
    <row r="34" spans="1:20" s="14" customFormat="1">
      <c r="A34" s="2"/>
      <c r="C34" s="197" t="s">
        <v>357</v>
      </c>
      <c r="D34" s="286"/>
      <c r="E34" s="348">
        <f>_xlfn.IFNA(VLOOKUP($C34,'Facteurs d''émission'!$D$2:$I$344,2,FALSE),"Non renseigné")</f>
        <v>0</v>
      </c>
      <c r="F34" s="291"/>
      <c r="G34" s="28">
        <f t="shared" ref="G34:G36" si="3">D34*E34*(1+F34)</f>
        <v>0</v>
      </c>
      <c r="I34" s="298">
        <f>_xlfn.IFNA(VLOOKUP($C34,'Facteurs d''émission'!$D$2:$I$344,4,FALSE),"Non présent dans la base")</f>
        <v>0</v>
      </c>
      <c r="J34" s="291"/>
      <c r="K34" s="28">
        <f t="shared" ref="K34:K36" si="4">G34*(1-(1-I34)*(1-J34))</f>
        <v>0</v>
      </c>
      <c r="M34" s="291"/>
      <c r="N34" s="28">
        <f t="shared" ref="N34:N36" si="5">G34*M34</f>
        <v>0</v>
      </c>
      <c r="P34" s="658"/>
      <c r="Q34" s="659"/>
      <c r="R34" s="659"/>
      <c r="S34" s="659"/>
      <c r="T34" s="660"/>
    </row>
    <row r="35" spans="1:20" s="14" customFormat="1">
      <c r="A35" s="2"/>
      <c r="C35" s="197" t="s">
        <v>357</v>
      </c>
      <c r="D35" s="286"/>
      <c r="E35" s="348">
        <f>_xlfn.IFNA(VLOOKUP($C35,'Facteurs d''émission'!$D$2:$I$344,2,FALSE),"Non renseigné")</f>
        <v>0</v>
      </c>
      <c r="F35" s="291"/>
      <c r="G35" s="28">
        <f t="shared" si="3"/>
        <v>0</v>
      </c>
      <c r="I35" s="298">
        <f>_xlfn.IFNA(VLOOKUP($C35,'Facteurs d''émission'!$D$2:$I$344,4,FALSE),"Non présent dans la base")</f>
        <v>0</v>
      </c>
      <c r="J35" s="291"/>
      <c r="K35" s="28">
        <f t="shared" si="4"/>
        <v>0</v>
      </c>
      <c r="M35" s="291"/>
      <c r="N35" s="28">
        <f t="shared" si="5"/>
        <v>0</v>
      </c>
      <c r="P35" s="658"/>
      <c r="Q35" s="659"/>
      <c r="R35" s="659"/>
      <c r="S35" s="659"/>
      <c r="T35" s="660"/>
    </row>
    <row r="36" spans="1:20" s="14" customFormat="1">
      <c r="A36" s="2"/>
      <c r="C36" s="197" t="s">
        <v>357</v>
      </c>
      <c r="D36" s="286"/>
      <c r="E36" s="348">
        <f>_xlfn.IFNA(VLOOKUP($C36,'Facteurs d''émission'!$D$2:$I$344,2,FALSE),"Non renseigné")</f>
        <v>0</v>
      </c>
      <c r="F36" s="291"/>
      <c r="G36" s="28">
        <f t="shared" si="3"/>
        <v>0</v>
      </c>
      <c r="I36" s="298">
        <f>_xlfn.IFNA(VLOOKUP($C36,'Facteurs d''émission'!$D$2:$I$344,4,FALSE),"Non présent dans la base")</f>
        <v>0</v>
      </c>
      <c r="J36" s="291"/>
      <c r="K36" s="28">
        <f t="shared" si="4"/>
        <v>0</v>
      </c>
      <c r="M36" s="291"/>
      <c r="N36" s="28">
        <f t="shared" si="5"/>
        <v>0</v>
      </c>
      <c r="P36" s="661"/>
      <c r="Q36" s="662"/>
      <c r="R36" s="662"/>
      <c r="S36" s="662"/>
      <c r="T36" s="663"/>
    </row>
    <row r="37" spans="1:20" s="14" customFormat="1">
      <c r="A37" s="2"/>
      <c r="C37" s="65" t="s">
        <v>26</v>
      </c>
      <c r="D37" s="376">
        <f>SUM(D33:D36)</f>
        <v>0</v>
      </c>
      <c r="E37" s="70"/>
      <c r="F37" s="70"/>
      <c r="G37" s="67">
        <f>SUM(G33:G36)</f>
        <v>0</v>
      </c>
      <c r="I37" s="627" t="str">
        <f>IF(COUNTA(D33)&gt;COUNTIF(L33,"ok"),"! Remplir une incertitude !","")</f>
        <v/>
      </c>
      <c r="J37" s="628"/>
      <c r="K37" s="71">
        <f>SUM(K33:K36)</f>
        <v>0</v>
      </c>
      <c r="M37" s="68"/>
      <c r="N37" s="67">
        <f>SUM(N33:N36)</f>
        <v>0</v>
      </c>
      <c r="P37" s="640" t="str">
        <f>IF(N37&gt;0,IF(#REF!="","Attention: vous devez planifier une action afin de remplir votre objectif",""),"")</f>
        <v/>
      </c>
      <c r="Q37" s="640"/>
      <c r="R37" s="640"/>
      <c r="S37" s="640"/>
      <c r="T37" s="640"/>
    </row>
    <row r="38" spans="1:20" s="14" customFormat="1">
      <c r="A38" s="2"/>
      <c r="C38" s="15"/>
      <c r="D38" s="15"/>
      <c r="E38" s="15"/>
      <c r="F38" s="15"/>
      <c r="G38" s="76"/>
      <c r="I38" s="11"/>
      <c r="J38" s="78"/>
      <c r="K38" s="76"/>
      <c r="N38" s="76"/>
      <c r="P38" s="16"/>
      <c r="Q38" s="16"/>
      <c r="R38" s="16"/>
      <c r="S38" s="16"/>
      <c r="T38" s="16"/>
    </row>
    <row r="39" spans="1:20" s="14" customFormat="1">
      <c r="A39" s="2"/>
      <c r="C39" s="15"/>
      <c r="D39" s="15"/>
      <c r="E39" s="15"/>
      <c r="F39" s="15"/>
      <c r="G39" s="76"/>
      <c r="I39" s="11"/>
      <c r="J39" s="78"/>
      <c r="K39" s="76"/>
      <c r="N39" s="76"/>
      <c r="P39" s="16"/>
      <c r="Q39" s="16"/>
      <c r="R39" s="16"/>
      <c r="S39" s="16"/>
      <c r="T39" s="16"/>
    </row>
    <row r="40" spans="1:20" s="9" customFormat="1">
      <c r="G40" s="97"/>
      <c r="K40" s="97"/>
      <c r="N40" s="97"/>
    </row>
    <row r="41" spans="1:20" s="14" customFormat="1">
      <c r="D41" s="239"/>
      <c r="E41" s="239" t="s">
        <v>321</v>
      </c>
      <c r="F41" s="239"/>
      <c r="G41" s="239"/>
      <c r="H41" s="239"/>
      <c r="I41" s="239"/>
      <c r="J41" s="239"/>
      <c r="K41" s="240"/>
      <c r="N41" s="13"/>
    </row>
    <row r="42" spans="1:20" s="14" customFormat="1" ht="12.75" customHeight="1">
      <c r="G42" s="13"/>
      <c r="K42" s="13"/>
      <c r="N42" s="13"/>
    </row>
    <row r="43" spans="1:20" s="14" customFormat="1" ht="12.75" customHeight="1">
      <c r="C43" s="73" t="s">
        <v>133</v>
      </c>
      <c r="D43" s="11"/>
      <c r="E43" s="11"/>
      <c r="F43" s="11"/>
      <c r="G43" s="76" t="s">
        <v>358</v>
      </c>
      <c r="H43" s="11"/>
      <c r="I43" s="629" t="s">
        <v>65</v>
      </c>
      <c r="J43" s="629"/>
      <c r="K43" s="629"/>
      <c r="M43" s="50" t="s">
        <v>393</v>
      </c>
      <c r="N43" s="180"/>
      <c r="P43" s="15" t="s">
        <v>115</v>
      </c>
    </row>
    <row r="44" spans="1:20" s="14" customFormat="1" ht="13.5" customHeight="1">
      <c r="A44" s="2"/>
      <c r="C44" s="352" t="s">
        <v>116</v>
      </c>
      <c r="D44" s="295" t="s">
        <v>345</v>
      </c>
      <c r="E44" s="295" t="s">
        <v>346</v>
      </c>
      <c r="F44"/>
      <c r="G44" s="296" t="s">
        <v>265</v>
      </c>
      <c r="H44" s="11"/>
      <c r="I44" s="295" t="s">
        <v>329</v>
      </c>
      <c r="J44" s="295" t="s">
        <v>330</v>
      </c>
      <c r="K44" s="354" t="s">
        <v>265</v>
      </c>
      <c r="M44" s="295" t="s">
        <v>331</v>
      </c>
      <c r="N44" s="354" t="s">
        <v>265</v>
      </c>
      <c r="P44" s="611" t="s">
        <v>167</v>
      </c>
      <c r="Q44" s="611"/>
      <c r="R44" s="611"/>
      <c r="S44" s="611"/>
      <c r="T44" s="611"/>
    </row>
    <row r="45" spans="1:20" s="14" customFormat="1">
      <c r="A45" s="2"/>
      <c r="C45" s="243" t="s">
        <v>23</v>
      </c>
      <c r="D45" s="286"/>
      <c r="E45" s="348">
        <f>_xlfn.IFNA(VLOOKUP($C45,'Facteurs d''émission'!$D$2:$I$344,2,FALSE),"Non renseigné")</f>
        <v>1300</v>
      </c>
      <c r="F45"/>
      <c r="G45" s="28">
        <f>D45*E45</f>
        <v>0</v>
      </c>
      <c r="I45" s="298">
        <f>_xlfn.IFNA(VLOOKUP($C45,'Facteurs d''émission'!$D$2:$I$344,4,FALSE),"Non présent dans la base")</f>
        <v>0.3</v>
      </c>
      <c r="J45" s="291"/>
      <c r="K45" s="28">
        <f>G45*(1-(1-I45)*(1-J45))</f>
        <v>0</v>
      </c>
      <c r="L45" s="14" t="str">
        <f>IF(D45*COUNTA(J45)&gt;0,"ok","")</f>
        <v/>
      </c>
      <c r="M45" s="292"/>
      <c r="N45" s="28">
        <f>G45*M45</f>
        <v>0</v>
      </c>
      <c r="P45" s="655" t="s">
        <v>319</v>
      </c>
      <c r="Q45" s="656"/>
      <c r="R45" s="656"/>
      <c r="S45" s="656"/>
      <c r="T45" s="657"/>
    </row>
    <row r="46" spans="1:20" s="14" customFormat="1">
      <c r="A46" s="2"/>
      <c r="C46" s="3" t="s">
        <v>299</v>
      </c>
      <c r="D46" s="286"/>
      <c r="E46" s="348">
        <f>_xlfn.IFNA(VLOOKUP($C46,'Facteurs d''émission'!$D$2:$I$344,2,FALSE),"Non renseigné")</f>
        <v>2140</v>
      </c>
      <c r="F46"/>
      <c r="G46" s="28">
        <f>D46*E46</f>
        <v>0</v>
      </c>
      <c r="I46" s="298">
        <f>_xlfn.IFNA(VLOOKUP($C46,'Facteurs d''émission'!$D$2:$I$344,4,FALSE),"Non présent dans la base")</f>
        <v>0.3</v>
      </c>
      <c r="J46" s="291"/>
      <c r="K46" s="28">
        <f t="shared" ref="K46:K50" si="6">G46*(1-(1-I46)*(1-J46))</f>
        <v>0</v>
      </c>
      <c r="L46" s="13"/>
      <c r="M46" s="292"/>
      <c r="N46" s="28">
        <f t="shared" ref="N46:N50" si="7">G46*M46</f>
        <v>0</v>
      </c>
      <c r="P46" s="658"/>
      <c r="Q46" s="659"/>
      <c r="R46" s="659"/>
      <c r="S46" s="659"/>
      <c r="T46" s="660"/>
    </row>
    <row r="47" spans="1:20" s="14" customFormat="1">
      <c r="A47" s="2"/>
      <c r="C47" s="243" t="s">
        <v>303</v>
      </c>
      <c r="D47" s="286"/>
      <c r="E47" s="348">
        <f>_xlfn.IFNA(VLOOKUP($C47,'Facteurs d''émission'!$D$2:$I$344,2,FALSE),"Non renseigné")</f>
        <v>675</v>
      </c>
      <c r="F47"/>
      <c r="G47" s="7">
        <f>D47*E47</f>
        <v>0</v>
      </c>
      <c r="I47" s="298">
        <f>_xlfn.IFNA(VLOOKUP($C47,'Facteurs d''émission'!$D$2:$I$344,4,FALSE),"Non présent dans la base")</f>
        <v>0.3</v>
      </c>
      <c r="J47" s="291"/>
      <c r="K47" s="28">
        <f t="shared" si="6"/>
        <v>0</v>
      </c>
      <c r="L47" s="13"/>
      <c r="M47" s="292"/>
      <c r="N47" s="28">
        <f t="shared" si="7"/>
        <v>0</v>
      </c>
      <c r="P47" s="658"/>
      <c r="Q47" s="659"/>
      <c r="R47" s="659"/>
      <c r="S47" s="659"/>
      <c r="T47" s="660"/>
    </row>
    <row r="48" spans="1:20" s="14" customFormat="1">
      <c r="A48" s="2"/>
      <c r="C48" s="243" t="s">
        <v>302</v>
      </c>
      <c r="D48" s="286"/>
      <c r="E48" s="348">
        <f>_xlfn.IFNA(VLOOKUP($C48,'Facteurs d''émission'!$D$2:$I$344,2,FALSE),"Non renseigné")</f>
        <v>2088</v>
      </c>
      <c r="F48"/>
      <c r="G48" s="7">
        <f t="shared" ref="G48:G50" si="8">D48*E48</f>
        <v>0</v>
      </c>
      <c r="I48" s="298">
        <f>_xlfn.IFNA(VLOOKUP($C48,'Facteurs d''émission'!$D$2:$I$344,4,FALSE),"Non présent dans la base")</f>
        <v>0.3</v>
      </c>
      <c r="J48" s="291"/>
      <c r="K48" s="28">
        <f t="shared" si="6"/>
        <v>0</v>
      </c>
      <c r="L48" s="13"/>
      <c r="M48" s="292">
        <v>0.5</v>
      </c>
      <c r="N48" s="28">
        <f t="shared" si="7"/>
        <v>0</v>
      </c>
      <c r="P48" s="658"/>
      <c r="Q48" s="659"/>
      <c r="R48" s="659"/>
      <c r="S48" s="659"/>
      <c r="T48" s="660"/>
    </row>
    <row r="49" spans="1:43" s="14" customFormat="1">
      <c r="A49" s="2"/>
      <c r="C49" s="243" t="s">
        <v>357</v>
      </c>
      <c r="D49" s="286"/>
      <c r="E49" s="348">
        <f>_xlfn.IFNA(VLOOKUP($C49,'Facteurs d''émission'!$D$2:$I$344,2,FALSE),"Non renseigné")</f>
        <v>0</v>
      </c>
      <c r="F49"/>
      <c r="G49" s="7">
        <f t="shared" si="8"/>
        <v>0</v>
      </c>
      <c r="I49" s="298">
        <f>_xlfn.IFNA(VLOOKUP($C49,'Facteurs d''émission'!$D$2:$I$344,4,FALSE),"Non présent dans la base")</f>
        <v>0</v>
      </c>
      <c r="J49" s="291"/>
      <c r="K49" s="28">
        <f t="shared" si="6"/>
        <v>0</v>
      </c>
      <c r="L49" s="13"/>
      <c r="M49" s="292"/>
      <c r="N49" s="28">
        <f t="shared" si="7"/>
        <v>0</v>
      </c>
      <c r="P49" s="658"/>
      <c r="Q49" s="659"/>
      <c r="R49" s="659"/>
      <c r="S49" s="659"/>
      <c r="T49" s="660"/>
    </row>
    <row r="50" spans="1:43" s="14" customFormat="1">
      <c r="A50" s="2"/>
      <c r="C50" s="243" t="s">
        <v>357</v>
      </c>
      <c r="D50" s="286"/>
      <c r="E50" s="348">
        <f>_xlfn.IFNA(VLOOKUP($C50,'Facteurs d''émission'!$D$2:$I$344,2,FALSE),"Non renseigné")</f>
        <v>0</v>
      </c>
      <c r="F50"/>
      <c r="G50" s="7">
        <f t="shared" si="8"/>
        <v>0</v>
      </c>
      <c r="I50" s="298">
        <f>_xlfn.IFNA(VLOOKUP($C50,'Facteurs d''émission'!$D$2:$I$344,4,FALSE),"Non présent dans la base")</f>
        <v>0</v>
      </c>
      <c r="J50" s="291"/>
      <c r="K50" s="28">
        <f t="shared" si="6"/>
        <v>0</v>
      </c>
      <c r="L50" s="13"/>
      <c r="M50" s="292"/>
      <c r="N50" s="28">
        <f t="shared" si="7"/>
        <v>0</v>
      </c>
      <c r="P50" s="661"/>
      <c r="Q50" s="662"/>
      <c r="R50" s="662"/>
      <c r="S50" s="662"/>
      <c r="T50" s="663"/>
    </row>
    <row r="51" spans="1:43" s="14" customFormat="1">
      <c r="A51" s="2"/>
      <c r="C51" s="65" t="s">
        <v>26</v>
      </c>
      <c r="D51" s="376">
        <f>SUM(D45:D50)</f>
        <v>0</v>
      </c>
      <c r="E51" s="349"/>
      <c r="F51"/>
      <c r="G51" s="62">
        <f>SUM(G45:G50)</f>
        <v>0</v>
      </c>
      <c r="I51" s="627" t="str">
        <f>IF(COUNTA(D45:D47)&gt;COUNTIF(L45:L47,"ok"),"! Remplir une incertitude !","")</f>
        <v/>
      </c>
      <c r="J51" s="628"/>
      <c r="K51" s="67">
        <f>SUM(K45:K50)</f>
        <v>0</v>
      </c>
      <c r="M51" s="3"/>
      <c r="N51" s="60">
        <f>SUM(N45:N50)</f>
        <v>0</v>
      </c>
      <c r="P51" s="651" t="str">
        <f>IF(N51&gt;0,IF(#REF!="","Attention: vous devez planifier une action afin de remplir votre objectif",""),"")</f>
        <v/>
      </c>
      <c r="Q51" s="651"/>
      <c r="R51" s="651"/>
      <c r="S51" s="651"/>
      <c r="T51" s="651"/>
    </row>
    <row r="52" spans="1:43" s="14" customFormat="1">
      <c r="C52" s="15"/>
      <c r="D52" s="15"/>
      <c r="E52" s="15"/>
      <c r="F52" s="15"/>
      <c r="G52" s="76"/>
      <c r="I52" s="77"/>
      <c r="J52" s="24"/>
      <c r="K52" s="76"/>
      <c r="N52" s="76"/>
      <c r="P52" s="11"/>
      <c r="Q52" s="11"/>
      <c r="R52" s="11"/>
      <c r="S52" s="11"/>
      <c r="T52" s="11"/>
    </row>
    <row r="53" spans="1:43" s="14" customFormat="1">
      <c r="C53" s="15"/>
      <c r="D53" s="15"/>
      <c r="E53" s="15"/>
      <c r="F53" s="15"/>
      <c r="G53" s="76"/>
      <c r="I53" s="77"/>
      <c r="J53" s="24"/>
      <c r="K53" s="76"/>
      <c r="N53" s="76"/>
      <c r="P53" s="11"/>
      <c r="Q53" s="11"/>
      <c r="R53" s="11"/>
      <c r="S53" s="11"/>
      <c r="T53" s="11"/>
    </row>
    <row r="54" spans="1:43" s="9" customFormat="1">
      <c r="G54" s="97"/>
      <c r="K54" s="97"/>
      <c r="N54" s="97"/>
    </row>
    <row r="55" spans="1:43" s="80" customFormat="1" ht="15.75">
      <c r="A55" s="79"/>
      <c r="B55" s="79"/>
      <c r="C55" s="742" t="s">
        <v>139</v>
      </c>
      <c r="D55" s="742"/>
      <c r="E55" s="742"/>
      <c r="F55" s="742"/>
      <c r="G55" s="742"/>
      <c r="H55" s="742"/>
      <c r="I55" s="742"/>
      <c r="J55" s="742"/>
      <c r="K55" s="742"/>
      <c r="L55" s="27"/>
      <c r="N55" s="134"/>
    </row>
    <row r="56" spans="1:43" s="80" customFormat="1">
      <c r="G56" s="134"/>
      <c r="K56" s="134"/>
      <c r="N56" s="134"/>
    </row>
    <row r="57" spans="1:43" s="79" customFormat="1">
      <c r="A57" s="80"/>
      <c r="B57" s="80"/>
      <c r="C57" s="15" t="s">
        <v>140</v>
      </c>
      <c r="D57" s="15"/>
      <c r="E57" s="629" t="s">
        <v>20</v>
      </c>
      <c r="F57" s="629"/>
      <c r="G57" s="630"/>
      <c r="H57" s="15"/>
      <c r="I57" s="610" t="s">
        <v>65</v>
      </c>
      <c r="J57" s="610"/>
      <c r="K57" s="610"/>
      <c r="L57" s="15"/>
      <c r="M57" s="645" t="s">
        <v>117</v>
      </c>
      <c r="N57" s="630"/>
      <c r="O57" s="630"/>
      <c r="P57" s="16" t="s">
        <v>13</v>
      </c>
    </row>
    <row r="58" spans="1:43" s="79" customFormat="1">
      <c r="C58" s="728" t="s">
        <v>135</v>
      </c>
      <c r="D58" s="729"/>
      <c r="E58" s="426" t="s">
        <v>265</v>
      </c>
      <c r="F58" s="427" t="s">
        <v>355</v>
      </c>
      <c r="G58" s="428" t="s">
        <v>70</v>
      </c>
      <c r="H58" s="81"/>
      <c r="I58" s="427" t="s">
        <v>265</v>
      </c>
      <c r="J58" s="427" t="s">
        <v>355</v>
      </c>
      <c r="K58" s="427" t="s">
        <v>53</v>
      </c>
      <c r="L58" s="81"/>
      <c r="M58" s="427" t="s">
        <v>265</v>
      </c>
      <c r="N58" s="427" t="s">
        <v>355</v>
      </c>
      <c r="O58" s="427" t="s">
        <v>52</v>
      </c>
      <c r="P58" s="427" t="s">
        <v>355</v>
      </c>
      <c r="Q58" s="108"/>
    </row>
    <row r="59" spans="1:43" s="79" customFormat="1">
      <c r="C59" s="730" t="s">
        <v>126</v>
      </c>
      <c r="D59" s="730"/>
      <c r="E59" s="83">
        <f>G25</f>
        <v>0</v>
      </c>
      <c r="F59" s="84">
        <f>E59/1000</f>
        <v>0</v>
      </c>
      <c r="G59" s="191" t="str">
        <f>IF(F$62=0,"",F59/F$62)</f>
        <v/>
      </c>
      <c r="H59" s="80"/>
      <c r="I59" s="84">
        <f>K25</f>
        <v>0</v>
      </c>
      <c r="J59" s="84">
        <f>I59/1000</f>
        <v>0</v>
      </c>
      <c r="K59" s="191" t="str">
        <f>IF(E59=0,"",I59/E59)</f>
        <v/>
      </c>
      <c r="L59" s="80"/>
      <c r="M59" s="84">
        <f>N25</f>
        <v>0</v>
      </c>
      <c r="N59" s="84">
        <f>M59/1000</f>
        <v>0</v>
      </c>
      <c r="O59" s="86" t="str">
        <f>IF($E59=0,"",M59/$E59)</f>
        <v/>
      </c>
      <c r="P59" s="87">
        <f>F59-N59</f>
        <v>0</v>
      </c>
    </row>
    <row r="60" spans="1:43" s="79" customFormat="1">
      <c r="C60" s="730" t="s">
        <v>54</v>
      </c>
      <c r="D60" s="730"/>
      <c r="E60" s="83">
        <f>G37</f>
        <v>0</v>
      </c>
      <c r="F60" s="84">
        <f>E60/1000</f>
        <v>0</v>
      </c>
      <c r="G60" s="191" t="str">
        <f>IF(F$62=0,"",F60/F$62)</f>
        <v/>
      </c>
      <c r="H60" s="80"/>
      <c r="I60" s="84">
        <f>K37</f>
        <v>0</v>
      </c>
      <c r="J60" s="84">
        <f>I60/1000</f>
        <v>0</v>
      </c>
      <c r="K60" s="191" t="str">
        <f>IF(E60=0,"",I60/E60)</f>
        <v/>
      </c>
      <c r="L60" s="80"/>
      <c r="M60" s="84">
        <f>N37</f>
        <v>0</v>
      </c>
      <c r="N60" s="84">
        <f>M60/1000</f>
        <v>0</v>
      </c>
      <c r="O60" s="86" t="str">
        <f>IF($E60=0,"",M60/$E60)</f>
        <v/>
      </c>
      <c r="P60" s="87">
        <f>F60-N60</f>
        <v>0</v>
      </c>
    </row>
    <row r="61" spans="1:43" s="79" customFormat="1">
      <c r="C61" s="730" t="s">
        <v>24</v>
      </c>
      <c r="D61" s="730"/>
      <c r="E61" s="89">
        <f>G51</f>
        <v>0</v>
      </c>
      <c r="F61" s="84">
        <f>E61/1000</f>
        <v>0</v>
      </c>
      <c r="G61" s="191" t="str">
        <f>IF(F$62=0,"",F61/F$62)</f>
        <v/>
      </c>
      <c r="H61" s="80"/>
      <c r="I61" s="84">
        <f>K51</f>
        <v>0</v>
      </c>
      <c r="J61" s="84">
        <f>I61/1000</f>
        <v>0</v>
      </c>
      <c r="K61" s="191" t="str">
        <f>IF(E61=0,"",I61/E61)</f>
        <v/>
      </c>
      <c r="L61" s="80"/>
      <c r="M61" s="84">
        <f>N51</f>
        <v>0</v>
      </c>
      <c r="N61" s="84">
        <f>M61/1000</f>
        <v>0</v>
      </c>
      <c r="O61" s="86" t="str">
        <f>IF($E61=0,"",M61/$E61)</f>
        <v/>
      </c>
      <c r="P61" s="87">
        <f>F61-N61</f>
        <v>0</v>
      </c>
    </row>
    <row r="62" spans="1:43" s="94" customFormat="1" ht="12.75">
      <c r="C62" s="65" t="s">
        <v>12</v>
      </c>
      <c r="D62" s="74"/>
      <c r="E62" s="67">
        <f>SUM(E59:E61)</f>
        <v>0</v>
      </c>
      <c r="F62" s="67">
        <f>SUM(F59:F61)</f>
        <v>0</v>
      </c>
      <c r="G62" s="92">
        <f>SUM(G59:G61)</f>
        <v>0</v>
      </c>
      <c r="H62" s="15"/>
      <c r="I62" s="62">
        <f>SUM(I59:I61)</f>
        <v>0</v>
      </c>
      <c r="J62" s="67">
        <f>SUM(J59:J61)</f>
        <v>0</v>
      </c>
      <c r="K62" s="194" t="str">
        <f>IF(E62=0,"",I62/E62)</f>
        <v/>
      </c>
      <c r="L62" s="15"/>
      <c r="M62" s="62">
        <f>SUM(M59:M61)</f>
        <v>0</v>
      </c>
      <c r="N62" s="62">
        <f>SUM(N59:N61)</f>
        <v>0</v>
      </c>
      <c r="O62" s="92" t="str">
        <f>IF($E62=0,"",M62/$E62)</f>
        <v/>
      </c>
      <c r="P62" s="93">
        <f>SUM(P59:P61)</f>
        <v>0</v>
      </c>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row>
    <row r="63" spans="1:43" s="79" customFormat="1">
      <c r="C63" s="15"/>
      <c r="D63" s="15"/>
      <c r="E63" s="15"/>
      <c r="F63" s="15"/>
      <c r="G63" s="76"/>
      <c r="H63" s="15"/>
      <c r="I63" s="15"/>
      <c r="J63" s="15"/>
      <c r="K63" s="76"/>
      <c r="L63" s="15"/>
      <c r="M63" s="91"/>
      <c r="N63" s="107"/>
    </row>
    <row r="64" spans="1:43" s="79" customFormat="1">
      <c r="C64" s="15"/>
      <c r="D64" s="15"/>
      <c r="E64" s="15"/>
      <c r="F64" s="15"/>
      <c r="G64" s="76"/>
      <c r="H64" s="15"/>
      <c r="I64" s="15"/>
      <c r="J64" s="15"/>
      <c r="K64" s="76"/>
      <c r="L64" s="15"/>
      <c r="M64" s="91"/>
      <c r="N64" s="107"/>
    </row>
    <row r="65" spans="3:14" s="79" customFormat="1">
      <c r="C65" s="15"/>
      <c r="D65" s="15"/>
      <c r="E65" s="15"/>
      <c r="F65" s="15"/>
      <c r="G65" s="76"/>
      <c r="H65" s="15"/>
      <c r="I65" s="15"/>
      <c r="J65" s="15"/>
      <c r="K65" s="76"/>
      <c r="L65" s="15"/>
      <c r="M65" s="91"/>
      <c r="N65" s="107"/>
    </row>
    <row r="66" spans="3:14" s="79" customFormat="1">
      <c r="C66" s="15"/>
      <c r="D66" s="15"/>
      <c r="E66" s="15"/>
      <c r="F66" s="15"/>
      <c r="G66" s="76"/>
      <c r="H66" s="15"/>
      <c r="I66" s="15"/>
      <c r="J66" s="15"/>
      <c r="K66" s="76"/>
      <c r="L66" s="15"/>
      <c r="M66" s="91"/>
      <c r="N66" s="107"/>
    </row>
    <row r="67" spans="3:14" s="79" customFormat="1">
      <c r="C67" s="15"/>
      <c r="D67" s="15"/>
      <c r="E67" s="15"/>
      <c r="F67" s="15"/>
      <c r="G67" s="76"/>
      <c r="H67" s="15"/>
      <c r="I67" s="15"/>
      <c r="J67" s="15"/>
      <c r="K67" s="76"/>
      <c r="L67" s="15"/>
      <c r="M67" s="91"/>
      <c r="N67" s="107"/>
    </row>
    <row r="68" spans="3:14" s="79" customFormat="1">
      <c r="C68" s="15"/>
      <c r="D68" s="15"/>
      <c r="E68" s="15"/>
      <c r="F68" s="15"/>
      <c r="G68" s="76"/>
      <c r="H68" s="15"/>
      <c r="I68" s="15"/>
      <c r="J68" s="15"/>
      <c r="K68" s="182"/>
      <c r="N68" s="107"/>
    </row>
    <row r="69" spans="3:14" s="79" customFormat="1">
      <c r="C69" s="15"/>
      <c r="D69" s="15"/>
      <c r="E69" s="15"/>
      <c r="F69" s="15"/>
      <c r="G69" s="76"/>
      <c r="H69" s="15"/>
      <c r="I69" s="15"/>
      <c r="J69" s="15"/>
      <c r="K69" s="182"/>
      <c r="N69" s="107"/>
    </row>
    <row r="70" spans="3:14" s="9" customFormat="1">
      <c r="C70" s="95"/>
      <c r="D70" s="95"/>
      <c r="E70" s="95"/>
      <c r="F70" s="95"/>
      <c r="G70" s="165"/>
      <c r="H70" s="95"/>
      <c r="I70" s="95"/>
      <c r="J70" s="95"/>
      <c r="K70" s="165"/>
      <c r="L70" s="95"/>
      <c r="M70" s="95"/>
      <c r="N70" s="97"/>
    </row>
    <row r="71" spans="3:14" s="9" customFormat="1">
      <c r="C71" s="95"/>
      <c r="D71" s="95"/>
      <c r="E71" s="95"/>
      <c r="F71" s="95"/>
      <c r="G71" s="165"/>
      <c r="H71" s="95"/>
      <c r="I71" s="95"/>
      <c r="J71" s="95"/>
      <c r="K71" s="165"/>
      <c r="L71" s="95"/>
      <c r="M71" s="95"/>
      <c r="N71" s="97"/>
    </row>
    <row r="72" spans="3:14" s="9" customFormat="1">
      <c r="C72" s="95"/>
      <c r="D72" s="95"/>
      <c r="E72" s="95"/>
      <c r="F72" s="95"/>
      <c r="G72" s="165"/>
      <c r="H72" s="95"/>
      <c r="I72" s="95"/>
      <c r="J72" s="95"/>
      <c r="K72" s="165"/>
      <c r="L72" s="95"/>
      <c r="M72" s="95"/>
      <c r="N72" s="97"/>
    </row>
    <row r="73" spans="3:14" s="9" customFormat="1">
      <c r="C73" s="95"/>
      <c r="D73" s="95"/>
      <c r="E73" s="95"/>
      <c r="F73" s="95"/>
      <c r="G73" s="165"/>
      <c r="H73" s="95"/>
      <c r="I73" s="95"/>
      <c r="J73" s="95"/>
      <c r="K73" s="165"/>
      <c r="L73" s="95"/>
      <c r="M73" s="95"/>
      <c r="N73" s="97"/>
    </row>
    <row r="74" spans="3:14" s="9" customFormat="1">
      <c r="C74" s="95"/>
      <c r="D74" s="95"/>
      <c r="E74" s="95"/>
      <c r="F74" s="95"/>
      <c r="G74" s="165"/>
      <c r="H74" s="95"/>
      <c r="I74" s="95"/>
      <c r="J74" s="95"/>
      <c r="K74" s="165"/>
      <c r="L74" s="95"/>
      <c r="M74" s="95"/>
      <c r="N74" s="97"/>
    </row>
    <row r="75" spans="3:14" s="9" customFormat="1">
      <c r="C75" s="95"/>
      <c r="D75" s="95"/>
      <c r="E75" s="95"/>
      <c r="F75" s="95"/>
      <c r="G75" s="165"/>
      <c r="H75" s="95"/>
      <c r="I75" s="95"/>
      <c r="J75" s="95"/>
      <c r="K75" s="165"/>
      <c r="L75" s="95"/>
      <c r="M75" s="95"/>
      <c r="N75" s="97"/>
    </row>
    <row r="76" spans="3:14" s="9" customFormat="1">
      <c r="C76" s="95"/>
      <c r="D76" s="95"/>
      <c r="E76" s="95"/>
      <c r="F76" s="95"/>
      <c r="G76" s="165"/>
      <c r="H76" s="95"/>
      <c r="I76" s="95"/>
      <c r="J76" s="95"/>
      <c r="K76" s="165"/>
      <c r="L76" s="95"/>
      <c r="M76" s="95"/>
      <c r="N76" s="97"/>
    </row>
    <row r="77" spans="3:14" s="9" customFormat="1">
      <c r="C77" s="95"/>
      <c r="D77" s="95"/>
      <c r="E77" s="95"/>
      <c r="F77" s="95"/>
      <c r="G77" s="165"/>
      <c r="H77" s="95"/>
      <c r="I77" s="95"/>
      <c r="J77" s="95"/>
      <c r="K77" s="165"/>
      <c r="L77" s="95"/>
      <c r="M77" s="95"/>
      <c r="N77" s="97"/>
    </row>
    <row r="78" spans="3:14" s="9" customFormat="1">
      <c r="C78" s="95"/>
      <c r="D78" s="95"/>
      <c r="E78" s="95"/>
      <c r="F78" s="95"/>
      <c r="G78" s="165"/>
      <c r="H78" s="95"/>
      <c r="I78" s="95"/>
      <c r="J78" s="95"/>
      <c r="K78" s="165"/>
      <c r="L78" s="95"/>
      <c r="M78" s="95"/>
      <c r="N78" s="97"/>
    </row>
    <row r="79" spans="3:14" s="9" customFormat="1">
      <c r="C79" s="95"/>
      <c r="D79" s="95"/>
      <c r="E79" s="95"/>
      <c r="F79" s="95"/>
      <c r="G79" s="165"/>
      <c r="H79" s="95"/>
      <c r="I79" s="95"/>
      <c r="J79" s="95"/>
      <c r="K79" s="165"/>
      <c r="L79" s="95"/>
      <c r="M79" s="95"/>
      <c r="N79" s="97"/>
    </row>
    <row r="80" spans="3:14" s="9" customFormat="1">
      <c r="C80" s="95"/>
      <c r="D80" s="95"/>
      <c r="E80" s="95"/>
      <c r="F80" s="95"/>
      <c r="G80" s="165"/>
      <c r="H80" s="95"/>
      <c r="I80" s="95"/>
      <c r="J80" s="95"/>
      <c r="K80" s="165"/>
      <c r="L80" s="95"/>
      <c r="M80" s="95"/>
      <c r="N80" s="97"/>
    </row>
    <row r="81" spans="3:14" s="9" customFormat="1">
      <c r="C81" s="95"/>
      <c r="D81" s="95"/>
      <c r="E81" s="95"/>
      <c r="F81" s="95"/>
      <c r="G81" s="165"/>
      <c r="H81" s="95"/>
      <c r="I81" s="95"/>
      <c r="J81" s="95"/>
      <c r="K81" s="165"/>
      <c r="L81" s="95"/>
      <c r="M81" s="95"/>
      <c r="N81" s="97"/>
    </row>
    <row r="82" spans="3:14" s="9" customFormat="1">
      <c r="C82" s="95"/>
      <c r="D82" s="95"/>
      <c r="E82" s="95"/>
      <c r="F82" s="95"/>
      <c r="G82" s="165"/>
      <c r="H82" s="95"/>
      <c r="I82" s="95"/>
      <c r="J82" s="95"/>
      <c r="K82" s="165"/>
      <c r="L82" s="95"/>
      <c r="M82" s="95"/>
      <c r="N82" s="97"/>
    </row>
    <row r="83" spans="3:14" s="9" customFormat="1">
      <c r="C83" s="95"/>
      <c r="D83" s="95"/>
      <c r="E83" s="95"/>
      <c r="F83" s="95"/>
      <c r="G83" s="165"/>
      <c r="H83" s="95"/>
      <c r="I83" s="95"/>
      <c r="J83" s="95"/>
      <c r="K83" s="165"/>
      <c r="L83" s="95"/>
      <c r="M83" s="95"/>
      <c r="N83" s="97"/>
    </row>
    <row r="84" spans="3:14" s="9" customFormat="1">
      <c r="C84" s="95"/>
      <c r="D84" s="95"/>
      <c r="E84" s="95"/>
      <c r="F84" s="95"/>
      <c r="G84" s="165"/>
      <c r="H84" s="95"/>
      <c r="I84" s="95"/>
      <c r="J84" s="95"/>
      <c r="K84" s="165"/>
      <c r="L84" s="95"/>
      <c r="M84" s="95"/>
      <c r="N84" s="97"/>
    </row>
    <row r="85" spans="3:14" s="9" customFormat="1">
      <c r="C85" s="95"/>
      <c r="D85" s="95"/>
      <c r="E85" s="95"/>
      <c r="F85" s="95"/>
      <c r="G85" s="165"/>
      <c r="H85" s="95"/>
      <c r="I85" s="95"/>
      <c r="J85" s="95"/>
      <c r="K85" s="165"/>
      <c r="L85" s="95"/>
      <c r="M85" s="95"/>
      <c r="N85" s="97"/>
    </row>
    <row r="86" spans="3:14" s="9" customFormat="1">
      <c r="C86" s="95"/>
      <c r="D86" s="95"/>
      <c r="E86" s="95"/>
      <c r="F86" s="95"/>
      <c r="G86" s="165"/>
      <c r="H86" s="95"/>
      <c r="I86" s="95"/>
      <c r="J86" s="95"/>
      <c r="K86" s="165"/>
      <c r="L86" s="95"/>
      <c r="M86" s="95"/>
      <c r="N86" s="97"/>
    </row>
    <row r="87" spans="3:14" s="9" customFormat="1">
      <c r="C87" s="95"/>
      <c r="D87" s="95"/>
      <c r="E87" s="95"/>
      <c r="F87" s="95"/>
      <c r="G87" s="165"/>
      <c r="H87" s="95"/>
      <c r="I87" s="95"/>
      <c r="J87" s="95"/>
      <c r="K87" s="165"/>
      <c r="L87" s="95"/>
      <c r="M87" s="95"/>
      <c r="N87" s="97"/>
    </row>
    <row r="88" spans="3:14" s="9" customFormat="1">
      <c r="C88" s="95"/>
      <c r="D88" s="95"/>
      <c r="E88" s="95"/>
      <c r="F88" s="95"/>
      <c r="G88" s="165"/>
      <c r="H88" s="95"/>
      <c r="I88" s="95"/>
      <c r="J88" s="95"/>
      <c r="K88" s="165"/>
      <c r="L88" s="95"/>
      <c r="M88" s="95"/>
      <c r="N88" s="97"/>
    </row>
    <row r="89" spans="3:14" s="9" customFormat="1">
      <c r="C89" s="95"/>
      <c r="D89" s="95"/>
      <c r="E89" s="95"/>
      <c r="F89" s="95"/>
      <c r="G89" s="165"/>
      <c r="H89" s="95"/>
      <c r="I89" s="95"/>
      <c r="J89" s="95"/>
      <c r="K89" s="165"/>
      <c r="L89" s="95"/>
      <c r="M89" s="95"/>
      <c r="N89" s="97"/>
    </row>
    <row r="90" spans="3:14" s="9" customFormat="1">
      <c r="C90" s="95"/>
      <c r="D90" s="95"/>
      <c r="E90" s="95"/>
      <c r="F90" s="95"/>
      <c r="G90" s="165"/>
      <c r="H90" s="95"/>
      <c r="I90" s="95"/>
      <c r="J90" s="95"/>
      <c r="K90" s="165"/>
      <c r="L90" s="95"/>
      <c r="M90" s="95"/>
      <c r="N90" s="97"/>
    </row>
    <row r="91" spans="3:14" s="9" customFormat="1">
      <c r="C91" s="95"/>
      <c r="D91" s="95"/>
      <c r="E91" s="95"/>
      <c r="F91" s="95"/>
      <c r="G91" s="165"/>
      <c r="H91" s="95"/>
      <c r="I91" s="95"/>
      <c r="J91" s="95"/>
      <c r="K91" s="165"/>
      <c r="L91" s="95"/>
      <c r="M91" s="95"/>
      <c r="N91" s="97"/>
    </row>
    <row r="92" spans="3:14" s="9" customFormat="1">
      <c r="C92" s="95"/>
      <c r="D92" s="95"/>
      <c r="E92" s="95"/>
      <c r="F92" s="95"/>
      <c r="G92" s="165"/>
      <c r="H92" s="95"/>
      <c r="I92" s="95"/>
      <c r="J92" s="95"/>
      <c r="K92" s="165"/>
      <c r="L92" s="95"/>
      <c r="M92" s="95"/>
      <c r="N92" s="97"/>
    </row>
    <row r="93" spans="3:14" s="9" customFormat="1">
      <c r="C93" s="95"/>
      <c r="D93" s="95"/>
      <c r="E93" s="95"/>
      <c r="F93" s="95"/>
      <c r="G93" s="165"/>
      <c r="H93" s="95"/>
      <c r="I93" s="95"/>
      <c r="J93" s="95"/>
      <c r="K93" s="165"/>
      <c r="L93" s="95"/>
      <c r="M93" s="95"/>
      <c r="N93" s="97"/>
    </row>
    <row r="94" spans="3:14" s="9" customFormat="1">
      <c r="C94" s="95"/>
      <c r="D94" s="95"/>
      <c r="E94" s="95"/>
      <c r="F94" s="95"/>
      <c r="G94" s="165"/>
      <c r="H94" s="95"/>
      <c r="I94" s="95"/>
      <c r="J94" s="95"/>
      <c r="K94" s="165"/>
      <c r="L94" s="95"/>
      <c r="M94" s="95"/>
      <c r="N94" s="97"/>
    </row>
    <row r="95" spans="3:14" s="9" customFormat="1">
      <c r="C95" s="95"/>
      <c r="D95" s="95"/>
      <c r="E95" s="95"/>
      <c r="F95" s="95"/>
      <c r="G95" s="165"/>
      <c r="H95" s="95"/>
      <c r="I95" s="95"/>
      <c r="J95" s="95"/>
      <c r="K95" s="165"/>
      <c r="L95" s="95"/>
      <c r="M95" s="95"/>
      <c r="N95" s="97"/>
    </row>
    <row r="96" spans="3:14" s="9" customFormat="1">
      <c r="C96" s="95"/>
      <c r="D96" s="95"/>
      <c r="E96" s="95"/>
      <c r="F96" s="95"/>
      <c r="G96" s="165"/>
      <c r="H96" s="95"/>
      <c r="I96" s="95"/>
      <c r="J96" s="95"/>
      <c r="K96" s="165"/>
      <c r="L96" s="95"/>
      <c r="M96" s="95"/>
      <c r="N96" s="97"/>
    </row>
    <row r="97" spans="3:20" s="9" customFormat="1">
      <c r="C97" s="95"/>
      <c r="D97" s="95"/>
      <c r="E97" s="95"/>
      <c r="F97" s="95"/>
      <c r="G97" s="165"/>
      <c r="H97" s="95"/>
      <c r="I97" s="95"/>
      <c r="J97" s="95"/>
      <c r="K97" s="165"/>
      <c r="L97" s="95"/>
      <c r="M97" s="95"/>
      <c r="N97" s="97"/>
    </row>
    <row r="98" spans="3:20" s="9" customFormat="1">
      <c r="C98" s="95"/>
      <c r="D98" s="95"/>
      <c r="E98" s="95"/>
      <c r="F98" s="95"/>
      <c r="G98" s="165"/>
      <c r="H98" s="95"/>
      <c r="I98" s="95"/>
      <c r="J98" s="95"/>
      <c r="K98" s="165"/>
      <c r="L98" s="95"/>
      <c r="M98" s="95"/>
      <c r="N98" s="97"/>
    </row>
    <row r="99" spans="3:20" s="9" customFormat="1">
      <c r="C99" s="95"/>
      <c r="D99" s="95"/>
      <c r="E99" s="95"/>
      <c r="F99" s="95"/>
      <c r="G99" s="165"/>
      <c r="H99" s="95"/>
      <c r="I99" s="95"/>
      <c r="J99" s="95"/>
      <c r="K99" s="165"/>
      <c r="L99" s="95"/>
      <c r="M99" s="95"/>
      <c r="N99" s="97"/>
    </row>
    <row r="100" spans="3:20" s="9" customFormat="1">
      <c r="C100" s="95"/>
      <c r="D100" s="95"/>
      <c r="E100" s="95"/>
      <c r="F100" s="95"/>
      <c r="G100" s="165"/>
      <c r="H100" s="95"/>
      <c r="I100" s="95"/>
      <c r="J100" s="95"/>
      <c r="K100" s="165"/>
      <c r="L100" s="95"/>
      <c r="M100" s="95"/>
      <c r="N100" s="97"/>
    </row>
    <row r="101" spans="3:20" s="9" customFormat="1" ht="12.75" customHeight="1">
      <c r="C101" s="96"/>
      <c r="D101" s="96"/>
      <c r="E101" s="96"/>
      <c r="F101" s="96"/>
      <c r="G101" s="97"/>
      <c r="H101" s="97"/>
      <c r="K101" s="97"/>
      <c r="N101" s="97"/>
    </row>
    <row r="102" spans="3:20" s="9" customFormat="1" ht="12.75" customHeight="1">
      <c r="C102" s="96"/>
      <c r="D102" s="96"/>
      <c r="E102" s="96"/>
      <c r="F102" s="96"/>
      <c r="G102" s="97"/>
      <c r="H102" s="97"/>
      <c r="K102" s="97"/>
      <c r="N102" s="97"/>
    </row>
    <row r="103" spans="3:20" s="9" customFormat="1" ht="12.75" customHeight="1">
      <c r="C103" s="96"/>
      <c r="D103" s="96"/>
      <c r="E103" s="96"/>
      <c r="F103" s="96"/>
      <c r="G103" s="97"/>
      <c r="H103" s="97"/>
      <c r="K103" s="97"/>
      <c r="N103" s="97"/>
    </row>
    <row r="104" spans="3:20" s="14" customFormat="1" ht="23.25">
      <c r="C104" s="741" t="s">
        <v>59</v>
      </c>
      <c r="D104" s="741"/>
      <c r="E104" s="741"/>
      <c r="F104" s="741"/>
      <c r="G104" s="741"/>
      <c r="H104" s="741"/>
      <c r="I104" s="741"/>
      <c r="J104" s="741"/>
      <c r="K104" s="741"/>
      <c r="L104" s="741"/>
      <c r="N104" s="13"/>
    </row>
    <row r="105" spans="3:20" s="14" customFormat="1" ht="12.75" customHeight="1">
      <c r="G105" s="13"/>
      <c r="K105" s="13"/>
      <c r="N105" s="13"/>
    </row>
    <row r="106" spans="3:20" s="14" customFormat="1" ht="12.75" customHeight="1">
      <c r="G106" s="13"/>
      <c r="K106" s="13"/>
      <c r="N106" s="13"/>
    </row>
    <row r="107" spans="3:20" s="14" customFormat="1" ht="12.75" customHeight="1">
      <c r="E107" s="15" t="s">
        <v>323</v>
      </c>
      <c r="G107" s="13"/>
      <c r="K107" s="13"/>
      <c r="N107" s="13"/>
    </row>
    <row r="108" spans="3:20" s="14" customFormat="1" ht="12.75" customHeight="1">
      <c r="G108" s="13"/>
      <c r="K108" s="13"/>
      <c r="N108" s="13"/>
    </row>
    <row r="109" spans="3:20" s="14" customFormat="1">
      <c r="G109" s="13"/>
      <c r="K109" s="13"/>
      <c r="N109" s="13"/>
    </row>
    <row r="110" spans="3:20" s="14" customFormat="1" ht="12.75" customHeight="1">
      <c r="C110" s="361" t="s">
        <v>449</v>
      </c>
      <c r="D110" s="15"/>
      <c r="G110" s="76" t="s">
        <v>358</v>
      </c>
      <c r="H110" s="15"/>
      <c r="I110" s="47" t="s">
        <v>65</v>
      </c>
      <c r="J110" s="47"/>
      <c r="K110" s="180"/>
      <c r="M110" s="50" t="s">
        <v>393</v>
      </c>
      <c r="N110" s="180"/>
      <c r="O110" s="47"/>
      <c r="P110" s="15" t="s">
        <v>115</v>
      </c>
    </row>
    <row r="111" spans="3:20" s="14" customFormat="1" ht="12.75" customHeight="1">
      <c r="C111" s="617" t="s">
        <v>97</v>
      </c>
      <c r="D111" s="617" t="s">
        <v>327</v>
      </c>
      <c r="E111" s="620" t="s">
        <v>328</v>
      </c>
      <c r="F111"/>
      <c r="G111" s="623" t="s">
        <v>265</v>
      </c>
      <c r="I111" s="617" t="s">
        <v>329</v>
      </c>
      <c r="J111" s="617" t="s">
        <v>330</v>
      </c>
      <c r="K111" s="624" t="s">
        <v>265</v>
      </c>
      <c r="L111" s="16"/>
      <c r="M111" s="617" t="s">
        <v>331</v>
      </c>
      <c r="N111" s="624" t="s">
        <v>265</v>
      </c>
      <c r="P111" s="611" t="s">
        <v>167</v>
      </c>
      <c r="Q111" s="611"/>
      <c r="R111" s="611"/>
      <c r="S111" s="611"/>
      <c r="T111" s="611"/>
    </row>
    <row r="112" spans="3:20" s="14" customFormat="1" ht="12.75" customHeight="1">
      <c r="C112" s="618"/>
      <c r="D112" s="618"/>
      <c r="E112" s="621"/>
      <c r="F112"/>
      <c r="G112" s="623"/>
      <c r="I112" s="618"/>
      <c r="J112" s="618"/>
      <c r="K112" s="625"/>
      <c r="L112" s="16"/>
      <c r="M112" s="618"/>
      <c r="N112" s="625"/>
      <c r="P112" s="669" t="s">
        <v>318</v>
      </c>
      <c r="Q112" s="670"/>
      <c r="R112" s="670"/>
      <c r="S112" s="670"/>
      <c r="T112" s="671"/>
    </row>
    <row r="113" spans="3:20" s="14" customFormat="1" ht="12.75" customHeight="1">
      <c r="C113" s="619"/>
      <c r="D113" s="619"/>
      <c r="E113" s="622"/>
      <c r="F113"/>
      <c r="G113" s="623"/>
      <c r="I113" s="619"/>
      <c r="J113" s="619"/>
      <c r="K113" s="626"/>
      <c r="L113" s="11"/>
      <c r="M113" s="619"/>
      <c r="N113" s="626"/>
      <c r="P113" s="672"/>
      <c r="Q113" s="673"/>
      <c r="R113" s="673"/>
      <c r="S113" s="673"/>
      <c r="T113" s="674"/>
    </row>
    <row r="114" spans="3:20" s="14" customFormat="1" ht="12.75" customHeight="1">
      <c r="C114" s="3" t="s">
        <v>349</v>
      </c>
      <c r="D114" s="299"/>
      <c r="E114" s="348">
        <f>_xlfn.IFNA(VLOOKUP($C114,'Facteurs d''émission'!$D$2:$I$344,2,FALSE),"Non renseigné")</f>
        <v>1.2</v>
      </c>
      <c r="F114"/>
      <c r="G114" s="5">
        <f>D114*E114</f>
        <v>0</v>
      </c>
      <c r="I114" s="110">
        <f>_xlfn.IFNA(VLOOKUP($C114,'Facteurs d''émission'!$D$2:$I$344,4,FALSE),"Non présent dans la base")</f>
        <v>0.7</v>
      </c>
      <c r="J114" s="290">
        <v>0.01</v>
      </c>
      <c r="K114" s="5">
        <f>G114*(1-(1-I114)*(1-J114))</f>
        <v>0</v>
      </c>
      <c r="L114" s="14" t="str">
        <f>IF(D114*COUNTA(J114)&gt;0,"ok","")</f>
        <v/>
      </c>
      <c r="M114" s="302">
        <v>0.5</v>
      </c>
      <c r="N114" s="100">
        <f>G114*M114</f>
        <v>0</v>
      </c>
      <c r="P114" s="672"/>
      <c r="Q114" s="673"/>
      <c r="R114" s="673"/>
      <c r="S114" s="673"/>
      <c r="T114" s="674"/>
    </row>
    <row r="115" spans="3:20" s="14" customFormat="1" ht="12.75" customHeight="1">
      <c r="C115" s="3" t="s">
        <v>350</v>
      </c>
      <c r="D115" s="286"/>
      <c r="E115" s="348">
        <f>_xlfn.IFNA(VLOOKUP($C115,'Facteurs d''émission'!$D$2:$I$344,2,FALSE),"Non renseigné")</f>
        <v>0.379</v>
      </c>
      <c r="F115"/>
      <c r="G115" s="5">
        <f>D115*E115</f>
        <v>0</v>
      </c>
      <c r="I115" s="110">
        <f>_xlfn.IFNA(VLOOKUP($C115,'Facteurs d''émission'!$D$2:$I$344,4,FALSE),"Non présent dans la base")</f>
        <v>0.7</v>
      </c>
      <c r="J115" s="300"/>
      <c r="K115" s="5">
        <f>G115*(1-(1-I115)*(1-J115))</f>
        <v>0</v>
      </c>
      <c r="L115" s="14" t="str">
        <f>IF(D115*COUNTA(J115)&gt;0,"ok","")</f>
        <v/>
      </c>
      <c r="M115" s="302"/>
      <c r="N115" s="100">
        <f>G115*M115</f>
        <v>0</v>
      </c>
      <c r="P115" s="672"/>
      <c r="Q115" s="673"/>
      <c r="R115" s="673"/>
      <c r="S115" s="673"/>
      <c r="T115" s="674"/>
    </row>
    <row r="116" spans="3:20" s="14" customFormat="1" ht="12.75" customHeight="1">
      <c r="C116" s="3" t="s">
        <v>351</v>
      </c>
      <c r="D116" s="286"/>
      <c r="E116" s="348">
        <f>_xlfn.IFNA(VLOOKUP($C116,'Facteurs d''émission'!$D$2:$I$344,2,FALSE),"Non renseigné")</f>
        <v>0.105</v>
      </c>
      <c r="F116"/>
      <c r="G116" s="5">
        <f>D116*E116</f>
        <v>0</v>
      </c>
      <c r="I116" s="110">
        <f>_xlfn.IFNA(VLOOKUP($C116,'Facteurs d''émission'!$D$2:$I$344,4,FALSE),"Non présent dans la base")</f>
        <v>0.7</v>
      </c>
      <c r="J116" s="300"/>
      <c r="K116" s="5">
        <f>G116*(1-(1-I116)*(1-J116))</f>
        <v>0</v>
      </c>
      <c r="L116" s="14" t="str">
        <f>IF(D116*COUNTA(J116)&gt;0,"ok","")</f>
        <v/>
      </c>
      <c r="M116" s="302"/>
      <c r="N116" s="100">
        <f>G116*M116</f>
        <v>0</v>
      </c>
      <c r="P116" s="672"/>
      <c r="Q116" s="673"/>
      <c r="R116" s="673"/>
      <c r="S116" s="673"/>
      <c r="T116" s="674"/>
    </row>
    <row r="117" spans="3:20" s="14" customFormat="1" ht="12.75" customHeight="1">
      <c r="C117" s="3" t="s">
        <v>353</v>
      </c>
      <c r="D117" s="286"/>
      <c r="E117" s="348">
        <f>_xlfn.IFNA(VLOOKUP($C117,'Facteurs d''émission'!$D$2:$I$344,2,FALSE),"Non renseigné")</f>
        <v>0.17799999999999999</v>
      </c>
      <c r="F117"/>
      <c r="G117" s="5">
        <f>D117*E117</f>
        <v>0</v>
      </c>
      <c r="I117" s="110">
        <f>_xlfn.IFNA(VLOOKUP($C117,'Facteurs d''émission'!$D$2:$I$344,4,FALSE),"Non présent dans la base")</f>
        <v>0.7</v>
      </c>
      <c r="J117" s="300"/>
      <c r="K117" s="5">
        <f>G117*(1-(1-I117)*(1-J117))</f>
        <v>0</v>
      </c>
      <c r="L117" s="14" t="str">
        <f>IF(D117*COUNTA(J117)&gt;0,"ok","")</f>
        <v/>
      </c>
      <c r="M117" s="302"/>
      <c r="N117" s="100">
        <f>G117*M117</f>
        <v>0</v>
      </c>
      <c r="P117" s="672"/>
      <c r="Q117" s="673"/>
      <c r="R117" s="673"/>
      <c r="S117" s="673"/>
      <c r="T117" s="674"/>
    </row>
    <row r="118" spans="3:20" s="14" customFormat="1" ht="12.75" customHeight="1">
      <c r="C118" s="3" t="s">
        <v>354</v>
      </c>
      <c r="D118" s="286"/>
      <c r="E118" s="348">
        <f>_xlfn.IFNA(VLOOKUP($C118,'Facteurs d''émission'!$D$2:$I$344,2,FALSE),"Non renseigné")</f>
        <v>0.84799999999999998</v>
      </c>
      <c r="F118"/>
      <c r="G118" s="5">
        <f>D118*E118</f>
        <v>0</v>
      </c>
      <c r="I118" s="110">
        <f>_xlfn.IFNA(VLOOKUP($C118,'Facteurs d''émission'!$D$2:$I$344,4,FALSE),"Non présent dans la base")</f>
        <v>0.7</v>
      </c>
      <c r="J118" s="300"/>
      <c r="K118" s="5">
        <f>G118*(1-(1-I118)*(1-J118))</f>
        <v>0</v>
      </c>
      <c r="L118" s="14" t="str">
        <f>IF(D118*COUNTA(J118)&gt;0,"ok","")</f>
        <v/>
      </c>
      <c r="M118" s="303"/>
      <c r="N118" s="100">
        <f>G118*M118</f>
        <v>0</v>
      </c>
      <c r="P118" s="672"/>
      <c r="Q118" s="673"/>
      <c r="R118" s="673"/>
      <c r="S118" s="673"/>
      <c r="T118" s="674"/>
    </row>
    <row r="119" spans="3:20" s="14" customFormat="1" ht="12.75" customHeight="1">
      <c r="C119" s="3" t="s">
        <v>357</v>
      </c>
      <c r="D119" s="286"/>
      <c r="E119" s="348">
        <f>_xlfn.IFNA(VLOOKUP($C119,'Facteurs d''émission'!$D$2:$I$344,2,FALSE),"Non renseigné")</f>
        <v>0</v>
      </c>
      <c r="F119"/>
      <c r="G119" s="5">
        <f t="shared" ref="G119:G121" si="9">D119*E119</f>
        <v>0</v>
      </c>
      <c r="I119" s="110">
        <f>_xlfn.IFNA(VLOOKUP($C119,'Facteurs d''émission'!$D$2:$I$344,4,FALSE),"Non présent dans la base")</f>
        <v>0</v>
      </c>
      <c r="J119" s="300"/>
      <c r="K119" s="5">
        <f t="shared" ref="K119:K121" si="10">G119*(1-(1-I119)*(1-J119))</f>
        <v>0</v>
      </c>
      <c r="M119" s="380"/>
      <c r="N119" s="100">
        <f t="shared" ref="N119:N121" si="11">G119*M119</f>
        <v>0</v>
      </c>
      <c r="P119" s="672"/>
      <c r="Q119" s="673"/>
      <c r="R119" s="673"/>
      <c r="S119" s="673"/>
      <c r="T119" s="674"/>
    </row>
    <row r="120" spans="3:20" s="14" customFormat="1" ht="12.75" customHeight="1">
      <c r="C120" s="3" t="s">
        <v>357</v>
      </c>
      <c r="D120" s="286"/>
      <c r="E120" s="348">
        <f>_xlfn.IFNA(VLOOKUP($C120,'Facteurs d''émission'!$D$2:$I$344,2,FALSE),"Non renseigné")</f>
        <v>0</v>
      </c>
      <c r="F120"/>
      <c r="G120" s="5">
        <f t="shared" si="9"/>
        <v>0</v>
      </c>
      <c r="I120" s="110">
        <f>_xlfn.IFNA(VLOOKUP($C120,'Facteurs d''émission'!$D$2:$I$344,4,FALSE),"Non présent dans la base")</f>
        <v>0</v>
      </c>
      <c r="J120" s="300"/>
      <c r="K120" s="5">
        <f t="shared" si="10"/>
        <v>0</v>
      </c>
      <c r="M120" s="380"/>
      <c r="N120" s="100">
        <f t="shared" si="11"/>
        <v>0</v>
      </c>
      <c r="P120" s="672"/>
      <c r="Q120" s="673"/>
      <c r="R120" s="673"/>
      <c r="S120" s="673"/>
      <c r="T120" s="674"/>
    </row>
    <row r="121" spans="3:20" s="14" customFormat="1" ht="12.75" customHeight="1">
      <c r="C121" s="3" t="s">
        <v>357</v>
      </c>
      <c r="D121" s="286"/>
      <c r="E121" s="348">
        <f>_xlfn.IFNA(VLOOKUP($C121,'Facteurs d''émission'!$D$2:$I$344,2,FALSE),"Non renseigné")</f>
        <v>0</v>
      </c>
      <c r="F121"/>
      <c r="G121" s="5">
        <f t="shared" si="9"/>
        <v>0</v>
      </c>
      <c r="I121" s="110">
        <f>_xlfn.IFNA(VLOOKUP($C121,'Facteurs d''émission'!$D$2:$I$344,4,FALSE),"Non présent dans la base")</f>
        <v>0</v>
      </c>
      <c r="J121" s="300"/>
      <c r="K121" s="5">
        <f t="shared" si="10"/>
        <v>0</v>
      </c>
      <c r="M121" s="380"/>
      <c r="N121" s="100">
        <f t="shared" si="11"/>
        <v>0</v>
      </c>
      <c r="P121" s="675"/>
      <c r="Q121" s="676"/>
      <c r="R121" s="676"/>
      <c r="S121" s="676"/>
      <c r="T121" s="677"/>
    </row>
    <row r="122" spans="3:20" s="14" customFormat="1" ht="12.75" customHeight="1">
      <c r="C122" s="65" t="s">
        <v>26</v>
      </c>
      <c r="D122" s="376">
        <f>SUM(D114:D121)</f>
        <v>0</v>
      </c>
      <c r="E122" s="349"/>
      <c r="F122"/>
      <c r="G122" s="62">
        <f>SUM(G114:G121)</f>
        <v>0</v>
      </c>
      <c r="I122" s="627" t="str">
        <f>IF(COUNTA(D114:D118)&gt;COUNTIF(L114:L118,"ok"),"! Remplir une incertitude !","")</f>
        <v/>
      </c>
      <c r="J122" s="628"/>
      <c r="K122" s="67">
        <f>SUM(K114:K121)</f>
        <v>0</v>
      </c>
      <c r="M122" s="102"/>
      <c r="N122" s="67">
        <f>SUM(N114:N121)</f>
        <v>0</v>
      </c>
      <c r="P122" s="650" t="str">
        <f>IF(N122&gt;0,IF(P112="","Attention: vous devez planifier une action afin de remplir votre objectif",""),"")</f>
        <v/>
      </c>
      <c r="Q122" s="650"/>
      <c r="R122" s="650"/>
      <c r="S122" s="650"/>
      <c r="T122" s="650"/>
    </row>
    <row r="123" spans="3:20" s="14" customFormat="1" ht="29.65" customHeight="1">
      <c r="C123" s="15"/>
      <c r="D123" s="15"/>
      <c r="E123" s="15"/>
      <c r="F123" s="15"/>
      <c r="G123" s="76"/>
      <c r="I123" s="77"/>
      <c r="K123" s="76"/>
      <c r="N123" s="76"/>
    </row>
    <row r="124" spans="3:20" s="14" customFormat="1" ht="12.75" customHeight="1">
      <c r="C124" s="15"/>
      <c r="D124" s="15"/>
      <c r="E124" s="15" t="s">
        <v>324</v>
      </c>
      <c r="F124" s="15"/>
      <c r="G124" s="76"/>
      <c r="I124" s="77"/>
      <c r="K124" s="76"/>
      <c r="N124" s="76"/>
    </row>
    <row r="125" spans="3:20" s="14" customFormat="1" ht="12.75" customHeight="1">
      <c r="C125" s="15"/>
      <c r="D125" s="15"/>
      <c r="E125" s="15"/>
      <c r="F125" s="15"/>
      <c r="G125" s="76"/>
      <c r="I125" s="77"/>
      <c r="K125" s="76"/>
      <c r="N125" s="76"/>
    </row>
    <row r="126" spans="3:20" s="14" customFormat="1" ht="12.75" customHeight="1">
      <c r="C126" s="361" t="s">
        <v>450</v>
      </c>
      <c r="G126" s="76" t="s">
        <v>358</v>
      </c>
      <c r="I126" s="47" t="s">
        <v>65</v>
      </c>
      <c r="J126" s="47"/>
      <c r="K126" s="180"/>
      <c r="M126" s="50" t="s">
        <v>393</v>
      </c>
      <c r="N126" s="180"/>
      <c r="P126" s="15" t="s">
        <v>115</v>
      </c>
    </row>
    <row r="127" spans="3:20" s="312" customFormat="1" ht="36">
      <c r="C127" s="313" t="s">
        <v>96</v>
      </c>
      <c r="D127" s="313" t="s">
        <v>332</v>
      </c>
      <c r="E127" s="313" t="s">
        <v>341</v>
      </c>
      <c r="F127" s="313" t="s">
        <v>333</v>
      </c>
      <c r="G127" s="314" t="s">
        <v>265</v>
      </c>
      <c r="I127" s="315" t="s">
        <v>329</v>
      </c>
      <c r="J127" s="315" t="s">
        <v>330</v>
      </c>
      <c r="K127" s="316" t="s">
        <v>265</v>
      </c>
      <c r="M127" s="315" t="s">
        <v>331</v>
      </c>
      <c r="N127" s="316" t="s">
        <v>265</v>
      </c>
      <c r="P127" s="646" t="s">
        <v>167</v>
      </c>
      <c r="Q127" s="646"/>
      <c r="R127" s="646"/>
      <c r="S127" s="646"/>
      <c r="T127" s="646"/>
    </row>
    <row r="128" spans="3:20" s="14" customFormat="1" ht="11.65" customHeight="1">
      <c r="C128" s="17" t="s">
        <v>251</v>
      </c>
      <c r="D128" s="286"/>
      <c r="E128" s="350">
        <f>_xlfn.IFNA(VLOOKUP($C128,'Facteurs d''émission'!$D$2:$I$344,2,FALSE),"Non renseigné")</f>
        <v>2.5099999999999998</v>
      </c>
      <c r="F128" s="347"/>
      <c r="G128" s="5">
        <f>D128*(E128+F128)</f>
        <v>0</v>
      </c>
      <c r="H128" s="13"/>
      <c r="I128" s="110">
        <f>_xlfn.IFNA(VLOOKUP($C128,'Facteurs d''émission'!$D$2:$I$344,4,FALSE),"Non présent dans la base")</f>
        <v>0.5</v>
      </c>
      <c r="J128" s="291"/>
      <c r="K128" s="5">
        <f>G128*(1-(1-I128)*(1-J128))</f>
        <v>0</v>
      </c>
      <c r="L128" s="14" t="str">
        <f>IF(D128*COUNTA(J128)&gt;0,"ok","")</f>
        <v/>
      </c>
      <c r="M128" s="300"/>
      <c r="N128" s="100">
        <f>M128*G128</f>
        <v>0</v>
      </c>
      <c r="P128" s="669" t="s">
        <v>318</v>
      </c>
      <c r="Q128" s="670"/>
      <c r="R128" s="670"/>
      <c r="S128" s="670"/>
      <c r="T128" s="671"/>
    </row>
    <row r="129" spans="3:20" s="14" customFormat="1">
      <c r="C129" s="17" t="s">
        <v>252</v>
      </c>
      <c r="D129" s="286"/>
      <c r="E129" s="350">
        <f>_xlfn.IFNA(VLOOKUP($C129,'Facteurs d''émission'!$D$2:$I$344,2,FALSE),"Non renseigné")</f>
        <v>2.58</v>
      </c>
      <c r="F129" s="347"/>
      <c r="G129" s="5">
        <f>D129*(E129+F129)</f>
        <v>0</v>
      </c>
      <c r="H129" s="13"/>
      <c r="I129" s="110">
        <f>_xlfn.IFNA(VLOOKUP($C129,'Facteurs d''émission'!$D$2:$I$344,4,FALSE),"Non présent dans la base")</f>
        <v>0.5</v>
      </c>
      <c r="J129" s="291"/>
      <c r="K129" s="5">
        <f>G129*(1-(1-I129)*(1-J129))</f>
        <v>0</v>
      </c>
      <c r="L129" s="14" t="str">
        <f>IF(D129*COUNTA(J129)&gt;0,"ok","")</f>
        <v/>
      </c>
      <c r="M129" s="300"/>
      <c r="N129" s="100">
        <f>M129*G129</f>
        <v>0</v>
      </c>
      <c r="P129" s="672"/>
      <c r="Q129" s="673"/>
      <c r="R129" s="673"/>
      <c r="S129" s="673"/>
      <c r="T129" s="674"/>
    </row>
    <row r="130" spans="3:20" s="14" customFormat="1">
      <c r="C130" s="17" t="s">
        <v>254</v>
      </c>
      <c r="D130" s="286"/>
      <c r="E130" s="350">
        <f>_xlfn.IFNA(VLOOKUP($C130,'Facteurs d''émission'!$D$2:$I$344,2,FALSE),"Non renseigné")</f>
        <v>2.23</v>
      </c>
      <c r="F130" s="347"/>
      <c r="G130" s="5">
        <f>D130*(E130+F130)</f>
        <v>0</v>
      </c>
      <c r="H130" s="13"/>
      <c r="I130" s="110">
        <f>_xlfn.IFNA(VLOOKUP($C130,'Facteurs d''émission'!$D$2:$I$344,4,FALSE),"Non présent dans la base")</f>
        <v>0.5</v>
      </c>
      <c r="J130" s="291"/>
      <c r="K130" s="5">
        <f>G130*(1-(1-I130)*(1-J130))</f>
        <v>0</v>
      </c>
      <c r="L130" s="14" t="str">
        <f>IF(D130*COUNTA(J130)&gt;0,"ok","")</f>
        <v/>
      </c>
      <c r="M130" s="301"/>
      <c r="N130" s="106">
        <f>M130*G130</f>
        <v>0</v>
      </c>
      <c r="P130" s="672"/>
      <c r="Q130" s="673"/>
      <c r="R130" s="673"/>
      <c r="S130" s="673"/>
      <c r="T130" s="674"/>
    </row>
    <row r="131" spans="3:20" s="14" customFormat="1">
      <c r="C131" s="17" t="s">
        <v>357</v>
      </c>
      <c r="D131" s="286"/>
      <c r="E131" s="350">
        <f>_xlfn.IFNA(VLOOKUP($C131,'Facteurs d''émission'!$D$2:$I$344,2,FALSE),"Non renseigné")</f>
        <v>0</v>
      </c>
      <c r="F131" s="347"/>
      <c r="G131" s="5">
        <f>D131*(E131+F131)</f>
        <v>0</v>
      </c>
      <c r="H131" s="13"/>
      <c r="I131" s="110">
        <f>_xlfn.IFNA(VLOOKUP($C131,'Facteurs d''émission'!$D$2:$I$344,4,FALSE),"Non présent dans la base")</f>
        <v>0</v>
      </c>
      <c r="J131" s="291"/>
      <c r="K131" s="5">
        <f>G131*(1-(1-I131)*(1-J131))</f>
        <v>0</v>
      </c>
      <c r="M131" s="375"/>
      <c r="N131" s="106">
        <f t="shared" ref="N131:N133" si="12">M131*G131</f>
        <v>0</v>
      </c>
      <c r="P131" s="672"/>
      <c r="Q131" s="673"/>
      <c r="R131" s="673"/>
      <c r="S131" s="673"/>
      <c r="T131" s="674"/>
    </row>
    <row r="132" spans="3:20" s="14" customFormat="1">
      <c r="C132" s="17" t="s">
        <v>357</v>
      </c>
      <c r="D132" s="286"/>
      <c r="E132" s="350">
        <f>_xlfn.IFNA(VLOOKUP($C132,'Facteurs d''émission'!$D$2:$I$344,2,FALSE),"Non renseigné")</f>
        <v>0</v>
      </c>
      <c r="F132" s="347"/>
      <c r="G132" s="5">
        <f t="shared" ref="G132:G133" si="13">D132*(E132+F132)</f>
        <v>0</v>
      </c>
      <c r="H132" s="13"/>
      <c r="I132" s="110">
        <f>_xlfn.IFNA(VLOOKUP($C132,'Facteurs d''émission'!$D$2:$I$344,4,FALSE),"Non présent dans la base")</f>
        <v>0</v>
      </c>
      <c r="J132" s="291"/>
      <c r="K132" s="5">
        <f t="shared" ref="K132:K133" si="14">G132*(1-(1-I132)*(1-J132))</f>
        <v>0</v>
      </c>
      <c r="M132" s="375"/>
      <c r="N132" s="106">
        <f t="shared" si="12"/>
        <v>0</v>
      </c>
      <c r="P132" s="672"/>
      <c r="Q132" s="673"/>
      <c r="R132" s="673"/>
      <c r="S132" s="673"/>
      <c r="T132" s="674"/>
    </row>
    <row r="133" spans="3:20" s="14" customFormat="1">
      <c r="C133" s="17" t="s">
        <v>357</v>
      </c>
      <c r="D133" s="286"/>
      <c r="E133" s="350">
        <f>_xlfn.IFNA(VLOOKUP($C133,'Facteurs d''émission'!$D$2:$I$344,2,FALSE),"Non renseigné")</f>
        <v>0</v>
      </c>
      <c r="F133" s="347"/>
      <c r="G133" s="5">
        <f t="shared" si="13"/>
        <v>0</v>
      </c>
      <c r="H133" s="13"/>
      <c r="I133" s="110">
        <f>_xlfn.IFNA(VLOOKUP($C133,'Facteurs d''émission'!$D$2:$I$344,4,FALSE),"Non présent dans la base")</f>
        <v>0</v>
      </c>
      <c r="J133" s="291"/>
      <c r="K133" s="5">
        <f t="shared" si="14"/>
        <v>0</v>
      </c>
      <c r="M133" s="375"/>
      <c r="N133" s="106">
        <f t="shared" si="12"/>
        <v>0</v>
      </c>
      <c r="P133" s="675"/>
      <c r="Q133" s="676"/>
      <c r="R133" s="676"/>
      <c r="S133" s="676"/>
      <c r="T133" s="677"/>
    </row>
    <row r="134" spans="3:20" s="14" customFormat="1">
      <c r="C134" s="372" t="s">
        <v>26</v>
      </c>
      <c r="D134" s="62">
        <f>SUM(D128:D133)</f>
        <v>0</v>
      </c>
      <c r="E134" s="652"/>
      <c r="F134" s="654"/>
      <c r="G134" s="62">
        <f>SUM(G128:G133)</f>
        <v>0</v>
      </c>
      <c r="I134" s="627" t="str">
        <f>IF(COUNTA(D128:D130)&gt;COUNTIF(L128:L130,"ok"),"! Remplir une incertitude !","")</f>
        <v/>
      </c>
      <c r="J134" s="628"/>
      <c r="K134" s="67">
        <f>SUM(K128:K133)</f>
        <v>0</v>
      </c>
      <c r="M134" s="105"/>
      <c r="N134" s="67">
        <f>SUM(N128:N133)</f>
        <v>0</v>
      </c>
      <c r="P134" s="650" t="str">
        <f>IF(N134&gt;0,IF(#REF!="","Attention: vous devez planifier une action afin de remplir votre objectif",""),"")</f>
        <v/>
      </c>
      <c r="Q134" s="650"/>
      <c r="R134" s="650"/>
      <c r="S134" s="650"/>
      <c r="T134" s="650"/>
    </row>
    <row r="135" spans="3:20" s="14" customFormat="1" ht="28.9" customHeight="1">
      <c r="C135" s="15"/>
      <c r="G135" s="76"/>
      <c r="I135" s="77"/>
      <c r="K135" s="76"/>
      <c r="M135" s="79"/>
      <c r="N135" s="76"/>
      <c r="P135" s="11"/>
      <c r="Q135" s="11"/>
      <c r="R135" s="11"/>
      <c r="S135" s="11"/>
      <c r="T135" s="11"/>
    </row>
    <row r="136" spans="3:20" s="14" customFormat="1">
      <c r="C136" s="15"/>
      <c r="E136" s="15" t="s">
        <v>325</v>
      </c>
      <c r="G136" s="76"/>
      <c r="I136" s="77"/>
      <c r="K136" s="76"/>
      <c r="M136" s="79"/>
      <c r="N136" s="76"/>
      <c r="P136" s="11"/>
      <c r="Q136" s="11"/>
      <c r="R136" s="11"/>
      <c r="S136" s="11"/>
      <c r="T136" s="11"/>
    </row>
    <row r="137" spans="3:20" s="14" customFormat="1">
      <c r="G137" s="13"/>
      <c r="K137" s="13"/>
      <c r="N137" s="13"/>
    </row>
    <row r="138" spans="3:20" s="14" customFormat="1">
      <c r="C138" s="361" t="s">
        <v>451</v>
      </c>
      <c r="G138" s="76" t="s">
        <v>358</v>
      </c>
      <c r="I138" s="50" t="s">
        <v>65</v>
      </c>
      <c r="J138" s="16"/>
      <c r="K138" s="164"/>
      <c r="M138" s="47" t="s">
        <v>393</v>
      </c>
      <c r="N138" s="180"/>
      <c r="P138" s="15" t="s">
        <v>115</v>
      </c>
    </row>
    <row r="139" spans="3:20" s="319" customFormat="1">
      <c r="C139" s="315" t="s">
        <v>118</v>
      </c>
      <c r="D139" s="315" t="s">
        <v>332</v>
      </c>
      <c r="E139" s="315" t="s">
        <v>270</v>
      </c>
      <c r="F139"/>
      <c r="G139" s="320" t="s">
        <v>265</v>
      </c>
      <c r="I139" s="315" t="s">
        <v>329</v>
      </c>
      <c r="J139" s="315" t="s">
        <v>330</v>
      </c>
      <c r="K139" s="316" t="s">
        <v>265</v>
      </c>
      <c r="M139" s="315" t="s">
        <v>331</v>
      </c>
      <c r="N139" s="316" t="s">
        <v>265</v>
      </c>
      <c r="P139" s="646" t="s">
        <v>167</v>
      </c>
      <c r="Q139" s="646"/>
      <c r="R139" s="646"/>
      <c r="S139" s="646"/>
      <c r="T139" s="646"/>
    </row>
    <row r="140" spans="3:20" s="14" customFormat="1" ht="11.65" customHeight="1">
      <c r="C140" s="52" t="s">
        <v>255</v>
      </c>
      <c r="D140" s="286"/>
      <c r="E140" s="350">
        <f>_xlfn.IFNA(VLOOKUP($C140,'Facteurs d''émission'!$D$2:$I$344,2,FALSE),"Non renseigné")</f>
        <v>2.2599999999999999E-2</v>
      </c>
      <c r="F140"/>
      <c r="G140" s="5">
        <f>D140*E140</f>
        <v>0</v>
      </c>
      <c r="I140" s="298">
        <f>_xlfn.IFNA(VLOOKUP($C140,'Facteurs d''émission'!$D$2:$I$344,4,FALSE),"Non présent dans la base")</f>
        <v>0.5</v>
      </c>
      <c r="J140" s="291"/>
      <c r="K140" s="5">
        <f>G140*(1-(1-I140)*(1-J140))</f>
        <v>0</v>
      </c>
      <c r="L140" s="14" t="str">
        <f>IF(D140*COUNTA(J140)&gt;0,"ok","")</f>
        <v/>
      </c>
      <c r="M140" s="300"/>
      <c r="N140" s="5">
        <f>M140*G140</f>
        <v>0</v>
      </c>
      <c r="P140" s="669" t="s">
        <v>318</v>
      </c>
      <c r="Q140" s="670"/>
      <c r="R140" s="670"/>
      <c r="S140" s="670"/>
      <c r="T140" s="671"/>
    </row>
    <row r="141" spans="3:20" s="14" customFormat="1">
      <c r="C141" s="52" t="s">
        <v>256</v>
      </c>
      <c r="D141" s="286"/>
      <c r="E141" s="350">
        <f>_xlfn.IFNA(VLOOKUP($C141,'Facteurs d''émission'!$D$2:$I$344,2,FALSE),"Non renseigné")</f>
        <v>1.4599999999999999E-3</v>
      </c>
      <c r="F141"/>
      <c r="G141" s="101">
        <f>D141*E141</f>
        <v>0</v>
      </c>
      <c r="I141" s="298">
        <f>_xlfn.IFNA(VLOOKUP($C141,'Facteurs d''émission'!$D$2:$I$344,4,FALSE),"Non présent dans la base")</f>
        <v>0.7</v>
      </c>
      <c r="J141" s="289"/>
      <c r="K141" s="101">
        <f>G141*(1-(1-I141)*(1-J141))</f>
        <v>0</v>
      </c>
      <c r="L141" s="14" t="str">
        <f>IF(D141*COUNTA(J141)&gt;0,"ok","")</f>
        <v/>
      </c>
      <c r="M141" s="301"/>
      <c r="N141" s="101">
        <f>M141*G141</f>
        <v>0</v>
      </c>
      <c r="P141" s="672"/>
      <c r="Q141" s="673"/>
      <c r="R141" s="673"/>
      <c r="S141" s="673"/>
      <c r="T141" s="674"/>
    </row>
    <row r="142" spans="3:20" s="14" customFormat="1">
      <c r="C142" s="52" t="s">
        <v>357</v>
      </c>
      <c r="D142" s="286"/>
      <c r="E142" s="350">
        <f>_xlfn.IFNA(VLOOKUP($C142,'Facteurs d''émission'!$D$2:$I$344,2,FALSE),"Non renseigné")</f>
        <v>0</v>
      </c>
      <c r="F142"/>
      <c r="G142" s="101">
        <f>D142*E142</f>
        <v>0</v>
      </c>
      <c r="I142" s="298">
        <f>_xlfn.IFNA(VLOOKUP($C142,'Facteurs d''émission'!$D$2:$I$344,4,FALSE),"Non présent dans la base")</f>
        <v>0</v>
      </c>
      <c r="J142" s="289"/>
      <c r="K142" s="101">
        <f t="shared" ref="K142:K144" si="15">G142*(1-(1-I142)*(1-J142))</f>
        <v>0</v>
      </c>
      <c r="M142" s="301"/>
      <c r="N142" s="101">
        <f t="shared" ref="N142:N144" si="16">M142*G142</f>
        <v>0</v>
      </c>
      <c r="P142" s="672"/>
      <c r="Q142" s="673"/>
      <c r="R142" s="673"/>
      <c r="S142" s="673"/>
      <c r="T142" s="674"/>
    </row>
    <row r="143" spans="3:20" s="14" customFormat="1">
      <c r="C143" s="52" t="s">
        <v>357</v>
      </c>
      <c r="D143" s="286"/>
      <c r="E143" s="350">
        <f>_xlfn.IFNA(VLOOKUP($C143,'Facteurs d''émission'!$D$2:$I$344,2,FALSE),"Non renseigné")</f>
        <v>0</v>
      </c>
      <c r="F143"/>
      <c r="G143" s="101">
        <f t="shared" ref="G143:G144" si="17">D143*E143</f>
        <v>0</v>
      </c>
      <c r="I143" s="298">
        <f>_xlfn.IFNA(VLOOKUP($C143,'Facteurs d''émission'!$D$2:$I$344,4,FALSE),"Non présent dans la base")</f>
        <v>0</v>
      </c>
      <c r="J143" s="289"/>
      <c r="K143" s="101">
        <f t="shared" si="15"/>
        <v>0</v>
      </c>
      <c r="M143" s="301"/>
      <c r="N143" s="101">
        <f t="shared" si="16"/>
        <v>0</v>
      </c>
      <c r="P143" s="672"/>
      <c r="Q143" s="673"/>
      <c r="R143" s="673"/>
      <c r="S143" s="673"/>
      <c r="T143" s="674"/>
    </row>
    <row r="144" spans="3:20" s="14" customFormat="1">
      <c r="C144" s="52" t="s">
        <v>357</v>
      </c>
      <c r="D144" s="286"/>
      <c r="E144" s="350">
        <f>_xlfn.IFNA(VLOOKUP($C144,'Facteurs d''émission'!$D$2:$I$344,2,FALSE),"Non renseigné")</f>
        <v>0</v>
      </c>
      <c r="F144"/>
      <c r="G144" s="101">
        <f t="shared" si="17"/>
        <v>0</v>
      </c>
      <c r="I144" s="298">
        <f>_xlfn.IFNA(VLOOKUP($C144,'Facteurs d''émission'!$D$2:$I$344,4,FALSE),"Non présent dans la base")</f>
        <v>0</v>
      </c>
      <c r="J144" s="289"/>
      <c r="K144" s="101">
        <f t="shared" si="15"/>
        <v>0</v>
      </c>
      <c r="M144" s="301"/>
      <c r="N144" s="101">
        <f t="shared" si="16"/>
        <v>0</v>
      </c>
      <c r="P144" s="675"/>
      <c r="Q144" s="676"/>
      <c r="R144" s="676"/>
      <c r="S144" s="676"/>
      <c r="T144" s="677"/>
    </row>
    <row r="145" spans="3:20" s="14" customFormat="1">
      <c r="C145" s="372" t="s">
        <v>26</v>
      </c>
      <c r="D145" s="62">
        <f>SUM(D140:D144)</f>
        <v>0</v>
      </c>
      <c r="E145" s="372"/>
      <c r="F145"/>
      <c r="G145" s="62">
        <f>SUM(G140:G144)</f>
        <v>0</v>
      </c>
      <c r="I145" s="627" t="str">
        <f>IF(COUNTA(D140:D141)&gt;COUNTIF(L140:L141,"ok"),"! Remplir une incertitude !","")</f>
        <v/>
      </c>
      <c r="J145" s="628"/>
      <c r="K145" s="67">
        <f>SUM(K140:K144)</f>
        <v>0</v>
      </c>
      <c r="M145" s="105"/>
      <c r="N145" s="67">
        <f>SUM(N140:N144)</f>
        <v>0</v>
      </c>
      <c r="P145" s="650" t="str">
        <f>IF(N145&gt;0,IF(#REF!="","Attention: vous devez planifier une action afin de remplir votre objectif",""),"")</f>
        <v/>
      </c>
      <c r="Q145" s="650"/>
      <c r="R145" s="650"/>
      <c r="S145" s="650"/>
      <c r="T145" s="650"/>
    </row>
    <row r="146" spans="3:20" s="14" customFormat="1" ht="32.450000000000003" customHeight="1">
      <c r="C146" s="15"/>
      <c r="D146" s="15"/>
      <c r="E146" s="15"/>
      <c r="F146" s="15"/>
      <c r="G146" s="76"/>
      <c r="H146" s="76"/>
      <c r="K146" s="13"/>
      <c r="L146" s="76"/>
      <c r="N146" s="13"/>
      <c r="O146" s="76"/>
    </row>
    <row r="147" spans="3:20" s="14" customFormat="1">
      <c r="C147" s="15"/>
      <c r="D147" s="15"/>
      <c r="E147" s="15" t="s">
        <v>335</v>
      </c>
      <c r="F147" s="15"/>
      <c r="G147" s="76"/>
      <c r="H147" s="76"/>
      <c r="K147" s="13"/>
      <c r="L147" s="76"/>
      <c r="N147" s="13"/>
      <c r="O147" s="76"/>
    </row>
    <row r="148" spans="3:20" s="14" customFormat="1">
      <c r="C148" s="15"/>
      <c r="D148" s="15"/>
      <c r="E148" s="15"/>
      <c r="F148" s="15"/>
      <c r="G148" s="76"/>
      <c r="H148" s="76"/>
      <c r="K148" s="13"/>
      <c r="L148" s="76"/>
      <c r="N148" s="13"/>
      <c r="O148" s="76"/>
    </row>
    <row r="149" spans="3:20" s="14" customFormat="1">
      <c r="C149" s="361" t="s">
        <v>452</v>
      </c>
      <c r="G149" s="76" t="s">
        <v>358</v>
      </c>
      <c r="I149" s="239" t="s">
        <v>65</v>
      </c>
      <c r="J149" s="239"/>
      <c r="K149" s="180"/>
      <c r="M149" s="239" t="s">
        <v>393</v>
      </c>
      <c r="N149" s="239"/>
      <c r="P149" s="15" t="s">
        <v>115</v>
      </c>
    </row>
    <row r="150" spans="3:20" s="318" customFormat="1">
      <c r="C150" s="315" t="s">
        <v>340</v>
      </c>
      <c r="D150" s="315" t="s">
        <v>334</v>
      </c>
      <c r="E150" s="315" t="s">
        <v>270</v>
      </c>
      <c r="G150" s="316" t="s">
        <v>265</v>
      </c>
      <c r="I150" s="315" t="s">
        <v>329</v>
      </c>
      <c r="J150" s="315" t="s">
        <v>330</v>
      </c>
      <c r="K150" s="316" t="s">
        <v>265</v>
      </c>
      <c r="M150" s="315" t="s">
        <v>331</v>
      </c>
      <c r="N150" s="320" t="s">
        <v>265</v>
      </c>
      <c r="P150" s="647" t="s">
        <v>167</v>
      </c>
      <c r="Q150" s="648"/>
      <c r="R150" s="648"/>
      <c r="S150" s="648"/>
      <c r="T150" s="649"/>
    </row>
    <row r="151" spans="3:20" s="14" customFormat="1" ht="11.65" customHeight="1">
      <c r="C151" s="331" t="s">
        <v>338</v>
      </c>
      <c r="D151" s="332"/>
      <c r="E151" s="346">
        <f>_xlfn.IFNA(VLOOKUP($C151,'Facteurs d''émission'!$D$2:$I$344,2,FALSE),"Non renseigné")</f>
        <v>3.3099999999999997E-2</v>
      </c>
      <c r="G151" s="5">
        <f>D151*E151</f>
        <v>0</v>
      </c>
      <c r="I151" s="110">
        <f>_xlfn.IFNA(VLOOKUP($C151,'Facteurs d''émission'!$D$2:$I$344,4,FALSE),"Non présent dans la base")</f>
        <v>0.6</v>
      </c>
      <c r="J151" s="332"/>
      <c r="K151" s="5">
        <f>G151*(1-(1-I151)*(1-J151))</f>
        <v>0</v>
      </c>
      <c r="M151" s="291"/>
      <c r="N151" s="106">
        <f>$M151*G151</f>
        <v>0</v>
      </c>
      <c r="P151" s="669" t="s">
        <v>318</v>
      </c>
      <c r="Q151" s="670"/>
      <c r="R151" s="670"/>
      <c r="S151" s="670"/>
      <c r="T151" s="671"/>
    </row>
    <row r="152" spans="3:20" s="14" customFormat="1">
      <c r="C152" s="338" t="s">
        <v>339</v>
      </c>
      <c r="D152" s="286"/>
      <c r="E152" s="346">
        <f>_xlfn.IFNA(VLOOKUP($C152,'Facteurs d''émission'!$D$2:$I$344,2,FALSE),"Non renseigné")</f>
        <v>1.37E-2</v>
      </c>
      <c r="G152" s="5">
        <f>D152*E152</f>
        <v>0</v>
      </c>
      <c r="I152" s="110">
        <f>_xlfn.IFNA(VLOOKUP($C152,'Facteurs d''émission'!$D$2:$I$344,4,FALSE),"Non présent dans la base")</f>
        <v>0.56000000000000005</v>
      </c>
      <c r="J152" s="291"/>
      <c r="K152" s="5">
        <f>G152*(1-(1-I152)*(1-J152))</f>
        <v>0</v>
      </c>
      <c r="L152" s="14" t="str">
        <f>IF(D152*COUNTA(J152)&gt;0,"ok","")</f>
        <v/>
      </c>
      <c r="M152" s="291"/>
      <c r="N152" s="106">
        <f t="shared" ref="N152:N156" si="18">$M152*G152</f>
        <v>0</v>
      </c>
      <c r="P152" s="672"/>
      <c r="Q152" s="673"/>
      <c r="R152" s="673"/>
      <c r="S152" s="673"/>
      <c r="T152" s="674"/>
    </row>
    <row r="153" spans="3:20" s="14" customFormat="1">
      <c r="C153" s="338" t="s">
        <v>357</v>
      </c>
      <c r="D153" s="286"/>
      <c r="E153" s="346">
        <f>_xlfn.IFNA(VLOOKUP($C153,'Facteurs d''émission'!$D$2:$I$344,2,FALSE),"Non renseigné")</f>
        <v>0</v>
      </c>
      <c r="G153" s="5">
        <f t="shared" ref="G153:G156" si="19">D153*E153</f>
        <v>0</v>
      </c>
      <c r="I153" s="110">
        <f>_xlfn.IFNA(VLOOKUP($C153,'Facteurs d''émission'!$D$2:$I$344,4,FALSE),"Non présent dans la base")</f>
        <v>0</v>
      </c>
      <c r="J153" s="291"/>
      <c r="K153" s="5">
        <f t="shared" ref="K153:K156" si="20">G153*(1-(1-I153)*(1-J153))</f>
        <v>0</v>
      </c>
      <c r="M153" s="291"/>
      <c r="N153" s="106">
        <f t="shared" si="18"/>
        <v>0</v>
      </c>
      <c r="P153" s="672"/>
      <c r="Q153" s="673"/>
      <c r="R153" s="673"/>
      <c r="S153" s="673"/>
      <c r="T153" s="674"/>
    </row>
    <row r="154" spans="3:20" s="14" customFormat="1">
      <c r="C154" s="338" t="s">
        <v>357</v>
      </c>
      <c r="D154" s="286"/>
      <c r="E154" s="346">
        <f>_xlfn.IFNA(VLOOKUP($C154,'Facteurs d''émission'!$D$2:$I$344,2,FALSE),"Non renseigné")</f>
        <v>0</v>
      </c>
      <c r="G154" s="5">
        <f t="shared" si="19"/>
        <v>0</v>
      </c>
      <c r="I154" s="110">
        <f>_xlfn.IFNA(VLOOKUP($C154,'Facteurs d''émission'!$D$2:$I$344,4,FALSE),"Non présent dans la base")</f>
        <v>0</v>
      </c>
      <c r="J154" s="291"/>
      <c r="K154" s="5">
        <f t="shared" si="20"/>
        <v>0</v>
      </c>
      <c r="M154" s="291"/>
      <c r="N154" s="106">
        <f t="shared" si="18"/>
        <v>0</v>
      </c>
      <c r="P154" s="672"/>
      <c r="Q154" s="673"/>
      <c r="R154" s="673"/>
      <c r="S154" s="673"/>
      <c r="T154" s="674"/>
    </row>
    <row r="155" spans="3:20" s="14" customFormat="1">
      <c r="C155" s="338" t="s">
        <v>357</v>
      </c>
      <c r="D155" s="286"/>
      <c r="E155" s="346">
        <f>_xlfn.IFNA(VLOOKUP($C155,'Facteurs d''émission'!$D$2:$I$344,2,FALSE),"Non renseigné")</f>
        <v>0</v>
      </c>
      <c r="G155" s="5">
        <f t="shared" si="19"/>
        <v>0</v>
      </c>
      <c r="I155" s="110">
        <f>_xlfn.IFNA(VLOOKUP($C155,'Facteurs d''émission'!$D$2:$I$344,4,FALSE),"Non présent dans la base")</f>
        <v>0</v>
      </c>
      <c r="J155" s="291"/>
      <c r="K155" s="5">
        <f t="shared" si="20"/>
        <v>0</v>
      </c>
      <c r="M155" s="291"/>
      <c r="N155" s="106">
        <f t="shared" si="18"/>
        <v>0</v>
      </c>
      <c r="P155" s="672"/>
      <c r="Q155" s="673"/>
      <c r="R155" s="673"/>
      <c r="S155" s="673"/>
      <c r="T155" s="674"/>
    </row>
    <row r="156" spans="3:20" s="14" customFormat="1">
      <c r="C156" s="338" t="s">
        <v>357</v>
      </c>
      <c r="D156" s="286"/>
      <c r="E156" s="346">
        <f>_xlfn.IFNA(VLOOKUP($C156,'Facteurs d''émission'!$D$2:$I$344,2,FALSE),"Non renseigné")</f>
        <v>0</v>
      </c>
      <c r="G156" s="5">
        <f t="shared" si="19"/>
        <v>0</v>
      </c>
      <c r="I156" s="110">
        <f>_xlfn.IFNA(VLOOKUP($C156,'Facteurs d''émission'!$D$2:$I$344,4,FALSE),"Non présent dans la base")</f>
        <v>0</v>
      </c>
      <c r="J156" s="291"/>
      <c r="K156" s="5">
        <f t="shared" si="20"/>
        <v>0</v>
      </c>
      <c r="M156" s="291"/>
      <c r="N156" s="106">
        <f t="shared" si="18"/>
        <v>0</v>
      </c>
      <c r="P156" s="675"/>
      <c r="Q156" s="676"/>
      <c r="R156" s="676"/>
      <c r="S156" s="676"/>
      <c r="T156" s="677"/>
    </row>
    <row r="157" spans="3:20" s="14" customFormat="1">
      <c r="C157" s="377" t="s">
        <v>26</v>
      </c>
      <c r="D157" s="378">
        <f>SUM(D151:D156)</f>
        <v>0</v>
      </c>
      <c r="E157" s="379"/>
      <c r="G157" s="62">
        <f>SUM(G151:G156)</f>
        <v>0</v>
      </c>
      <c r="H157"/>
      <c r="I157" s="237" t="str">
        <f>IF(COUNTA(D152)&gt;COUNTIF(L152,"ok"),"! Remplir une incertitude !","")</f>
        <v/>
      </c>
      <c r="J157" s="238"/>
      <c r="K157" s="67">
        <f>SUM(K151:K156)</f>
        <v>0</v>
      </c>
      <c r="M157" s="68"/>
      <c r="N157" s="67">
        <f>SUM(N151:N156)</f>
        <v>0</v>
      </c>
      <c r="P157" s="652" t="str">
        <f>IF(N157&gt;0,IF(#REF!="","Attention: vous devez planifier une action afin de remplir votre objectif",""),"")</f>
        <v/>
      </c>
      <c r="Q157" s="653"/>
      <c r="R157" s="653"/>
      <c r="S157" s="653"/>
      <c r="T157" s="654"/>
    </row>
    <row r="158" spans="3:20" s="14" customFormat="1">
      <c r="G158" s="12"/>
      <c r="H158" s="13"/>
      <c r="K158" s="13"/>
      <c r="N158" s="13"/>
    </row>
    <row r="159" spans="3:20" s="14" customFormat="1">
      <c r="G159" s="12"/>
      <c r="H159" s="13"/>
      <c r="K159" s="13"/>
      <c r="N159" s="13"/>
    </row>
    <row r="160" spans="3:20" s="14" customFormat="1">
      <c r="G160" s="12"/>
      <c r="H160" s="13"/>
      <c r="K160" s="13"/>
      <c r="N160" s="13"/>
    </row>
    <row r="161" spans="1:16" s="80" customFormat="1" ht="15.75">
      <c r="A161" s="79"/>
      <c r="B161" s="79"/>
      <c r="C161" s="631" t="s">
        <v>141</v>
      </c>
      <c r="D161" s="631"/>
      <c r="E161" s="631"/>
      <c r="F161" s="631"/>
      <c r="G161" s="631"/>
      <c r="H161" s="631"/>
      <c r="I161" s="631"/>
      <c r="J161" s="631"/>
      <c r="K161" s="631"/>
      <c r="L161" s="27"/>
      <c r="N161" s="134"/>
    </row>
    <row r="162" spans="1:16" s="79" customFormat="1">
      <c r="G162" s="107"/>
      <c r="I162" s="107"/>
      <c r="K162" s="107"/>
      <c r="N162" s="107"/>
    </row>
    <row r="163" spans="1:16" s="79" customFormat="1">
      <c r="C163" s="15" t="s">
        <v>140</v>
      </c>
      <c r="D163" s="15"/>
      <c r="E163" s="629" t="s">
        <v>20</v>
      </c>
      <c r="F163" s="629"/>
      <c r="G163" s="630"/>
      <c r="H163" s="15"/>
      <c r="I163" s="610" t="s">
        <v>65</v>
      </c>
      <c r="J163" s="610"/>
      <c r="K163" s="610"/>
      <c r="L163" s="47"/>
      <c r="M163" s="645" t="s">
        <v>117</v>
      </c>
      <c r="N163" s="630"/>
      <c r="O163" s="630"/>
      <c r="P163" s="16" t="s">
        <v>13</v>
      </c>
    </row>
    <row r="164" spans="1:16" s="79" customFormat="1">
      <c r="C164" s="726"/>
      <c r="D164" s="727"/>
      <c r="E164" s="424" t="s">
        <v>265</v>
      </c>
      <c r="F164" s="262" t="s">
        <v>355</v>
      </c>
      <c r="G164" s="425" t="s">
        <v>70</v>
      </c>
      <c r="I164" s="262" t="s">
        <v>265</v>
      </c>
      <c r="J164" s="262" t="s">
        <v>355</v>
      </c>
      <c r="K164" s="262" t="s">
        <v>53</v>
      </c>
      <c r="L164" s="108"/>
      <c r="M164" s="262" t="s">
        <v>265</v>
      </c>
      <c r="N164" s="425" t="s">
        <v>355</v>
      </c>
      <c r="O164" s="262" t="s">
        <v>52</v>
      </c>
      <c r="P164" s="262" t="s">
        <v>355</v>
      </c>
    </row>
    <row r="165" spans="1:16" s="79" customFormat="1">
      <c r="C165" s="731" t="s">
        <v>32</v>
      </c>
      <c r="D165" s="731"/>
      <c r="E165" s="333">
        <f>G122</f>
        <v>0</v>
      </c>
      <c r="F165" s="334">
        <f>E165/1000</f>
        <v>0</v>
      </c>
      <c r="G165" s="335" t="str">
        <f>IF(F$169=0,"",F165/F$169)</f>
        <v/>
      </c>
      <c r="I165" s="103">
        <f>K122</f>
        <v>0</v>
      </c>
      <c r="J165" s="103">
        <f>I165/1000</f>
        <v>0</v>
      </c>
      <c r="K165" s="110" t="str">
        <f>IF(E165=0,"",I165/E165)</f>
        <v/>
      </c>
      <c r="M165" s="103">
        <f>N122</f>
        <v>0</v>
      </c>
      <c r="N165" s="103">
        <f>M165/1000</f>
        <v>0</v>
      </c>
      <c r="O165" s="86" t="str">
        <f>IF($E165=0,"",M165/$E165)</f>
        <v/>
      </c>
      <c r="P165" s="112">
        <f>F165-N165</f>
        <v>0</v>
      </c>
    </row>
    <row r="166" spans="1:16" s="79" customFormat="1">
      <c r="C166" s="731" t="s">
        <v>33</v>
      </c>
      <c r="D166" s="731"/>
      <c r="E166" s="333">
        <f>G134</f>
        <v>0</v>
      </c>
      <c r="F166" s="334">
        <f>E166/1000</f>
        <v>0</v>
      </c>
      <c r="G166" s="335" t="str">
        <f>IF(F$169=0,"",F166/F$169)</f>
        <v/>
      </c>
      <c r="I166" s="103">
        <f>K134</f>
        <v>0</v>
      </c>
      <c r="J166" s="103">
        <f>I166/1000</f>
        <v>0</v>
      </c>
      <c r="K166" s="110" t="str">
        <f>IF(E166=0,"",I166/E166)</f>
        <v/>
      </c>
      <c r="M166" s="103">
        <f>N134</f>
        <v>0</v>
      </c>
      <c r="N166" s="103">
        <f>M166/1000</f>
        <v>0</v>
      </c>
      <c r="O166" s="86" t="str">
        <f>IF($E166=0,"",M166/$E166)</f>
        <v/>
      </c>
      <c r="P166" s="112">
        <f>F166-N166</f>
        <v>0</v>
      </c>
    </row>
    <row r="167" spans="1:16" s="79" customFormat="1">
      <c r="C167" s="731" t="s">
        <v>34</v>
      </c>
      <c r="D167" s="731"/>
      <c r="E167" s="333">
        <f>G145</f>
        <v>0</v>
      </c>
      <c r="F167" s="334">
        <f>E167/1000</f>
        <v>0</v>
      </c>
      <c r="G167" s="335" t="str">
        <f>IF(F$169=0,"",F167/F$169)</f>
        <v/>
      </c>
      <c r="I167" s="103">
        <f>K145</f>
        <v>0</v>
      </c>
      <c r="J167" s="103">
        <f>I167/1000</f>
        <v>0</v>
      </c>
      <c r="K167" s="110" t="str">
        <f>IF(E167=0,"",I167/E167)</f>
        <v/>
      </c>
      <c r="M167" s="103">
        <f>N145</f>
        <v>0</v>
      </c>
      <c r="N167" s="103">
        <f>M167/1000</f>
        <v>0</v>
      </c>
      <c r="O167" s="86" t="str">
        <f>IF($E167=0,"",M167/$E167)</f>
        <v/>
      </c>
      <c r="P167" s="112">
        <f>F167-N167</f>
        <v>0</v>
      </c>
    </row>
    <row r="168" spans="1:16" s="79" customFormat="1">
      <c r="C168" s="740" t="s">
        <v>85</v>
      </c>
      <c r="D168" s="740"/>
      <c r="E168" s="336">
        <f>G157</f>
        <v>0</v>
      </c>
      <c r="F168" s="334">
        <f>E168/1000</f>
        <v>0</v>
      </c>
      <c r="G168" s="335" t="str">
        <f>IF(F$169=0,"",F168/F$169)</f>
        <v/>
      </c>
      <c r="I168" s="103">
        <f>K157</f>
        <v>0</v>
      </c>
      <c r="J168" s="103">
        <f>I168/1000</f>
        <v>0</v>
      </c>
      <c r="K168" s="339" t="str">
        <f>IF(E168=0,"",I168/E168)</f>
        <v/>
      </c>
      <c r="M168" s="103">
        <f>N157</f>
        <v>0</v>
      </c>
      <c r="N168" s="103">
        <f>M168/1000</f>
        <v>0</v>
      </c>
      <c r="O168" s="86" t="str">
        <f>IF($E168=0,"",M168/$E168)</f>
        <v/>
      </c>
      <c r="P168" s="112">
        <f>F168-N168</f>
        <v>0</v>
      </c>
    </row>
    <row r="169" spans="1:16" s="79" customFormat="1">
      <c r="C169" s="65" t="s">
        <v>12</v>
      </c>
      <c r="D169" s="70"/>
      <c r="E169" s="69">
        <f>SUM(E165:E168)</f>
        <v>0</v>
      </c>
      <c r="F169" s="69">
        <f>SUM(F165:F168)</f>
        <v>0</v>
      </c>
      <c r="G169" s="337">
        <f>SUM(G165:G168)</f>
        <v>0</v>
      </c>
      <c r="H169" s="15"/>
      <c r="I169" s="62">
        <f>SUM(I165:I168)</f>
        <v>0</v>
      </c>
      <c r="J169" s="67">
        <f>SUM(J165:J168)</f>
        <v>0</v>
      </c>
      <c r="K169" s="339" t="str">
        <f>IF(E169=0,"",I169/E169)</f>
        <v/>
      </c>
      <c r="L169" s="15"/>
      <c r="M169" s="62">
        <f>SUM(M165:M168)</f>
        <v>0</v>
      </c>
      <c r="N169" s="62">
        <f>SUM(N165:N168)</f>
        <v>0</v>
      </c>
      <c r="O169" s="92" t="str">
        <f>IF($E169=0,"",M169/$E169)</f>
        <v/>
      </c>
      <c r="P169" s="62">
        <f>SUM(P165:P168)</f>
        <v>0</v>
      </c>
    </row>
    <row r="170" spans="1:16" s="79" customFormat="1">
      <c r="C170" s="15"/>
      <c r="D170" s="15"/>
      <c r="E170" s="15"/>
      <c r="F170" s="15"/>
      <c r="G170" s="76"/>
      <c r="H170" s="76"/>
      <c r="I170" s="15"/>
      <c r="J170" s="15"/>
      <c r="K170" s="182"/>
      <c r="N170" s="107"/>
    </row>
    <row r="171" spans="1:16" s="79" customFormat="1">
      <c r="D171" s="107"/>
      <c r="G171" s="107"/>
      <c r="K171" s="107"/>
      <c r="N171" s="107"/>
    </row>
    <row r="172" spans="1:16" s="79" customFormat="1">
      <c r="D172" s="107"/>
      <c r="G172" s="107"/>
      <c r="K172" s="107"/>
      <c r="N172" s="107"/>
    </row>
    <row r="173" spans="1:16" s="79" customFormat="1">
      <c r="D173" s="107"/>
      <c r="G173" s="107"/>
      <c r="J173" s="111"/>
      <c r="K173" s="183"/>
      <c r="N173" s="107"/>
    </row>
    <row r="174" spans="1:16" s="9" customFormat="1">
      <c r="G174" s="97"/>
      <c r="H174" s="113"/>
      <c r="K174" s="97"/>
      <c r="N174" s="97"/>
    </row>
    <row r="175" spans="1:16" s="9" customFormat="1">
      <c r="G175" s="166"/>
      <c r="K175" s="97"/>
      <c r="N175" s="97"/>
    </row>
    <row r="176" spans="1:16" s="9" customFormat="1">
      <c r="G176" s="97"/>
      <c r="K176" s="97"/>
      <c r="N176" s="97"/>
    </row>
    <row r="177" spans="4:31" s="9" customFormat="1">
      <c r="G177" s="97"/>
      <c r="K177" s="97"/>
      <c r="L177" s="114"/>
      <c r="N177" s="97"/>
    </row>
    <row r="178" spans="4:31" s="9" customFormat="1">
      <c r="D178" s="115"/>
      <c r="G178" s="97"/>
      <c r="K178" s="97"/>
      <c r="N178" s="97"/>
    </row>
    <row r="179" spans="4:31" s="9" customFormat="1">
      <c r="D179" s="115"/>
      <c r="G179" s="97"/>
      <c r="K179" s="97"/>
      <c r="N179" s="97"/>
    </row>
    <row r="180" spans="4:31" s="9" customFormat="1">
      <c r="D180" s="115"/>
      <c r="G180" s="97"/>
      <c r="K180" s="97"/>
      <c r="N180" s="97"/>
    </row>
    <row r="181" spans="4:31" s="9" customFormat="1">
      <c r="D181" s="115"/>
      <c r="G181" s="97"/>
      <c r="K181" s="97"/>
      <c r="N181" s="97"/>
    </row>
    <row r="182" spans="4:31" s="9" customFormat="1">
      <c r="D182" s="115"/>
      <c r="G182" s="97"/>
      <c r="K182" s="97"/>
      <c r="N182" s="97"/>
    </row>
    <row r="183" spans="4:31" s="9" customFormat="1">
      <c r="G183" s="97"/>
      <c r="K183" s="97"/>
      <c r="N183" s="97"/>
    </row>
    <row r="184" spans="4:31" s="9" customFormat="1">
      <c r="G184" s="97"/>
      <c r="K184" s="97"/>
      <c r="N184" s="97"/>
    </row>
    <row r="185" spans="4:31" s="9" customFormat="1">
      <c r="G185" s="97"/>
      <c r="K185" s="97"/>
      <c r="N185" s="97"/>
    </row>
    <row r="186" spans="4:31" s="9" customFormat="1">
      <c r="G186" s="97"/>
      <c r="K186" s="97"/>
      <c r="N186" s="97"/>
      <c r="AE186" s="116"/>
    </row>
    <row r="187" spans="4:31" s="9" customFormat="1">
      <c r="G187" s="97"/>
      <c r="K187" s="97"/>
      <c r="N187" s="97"/>
    </row>
    <row r="188" spans="4:31" s="9" customFormat="1">
      <c r="G188" s="97"/>
      <c r="K188" s="97"/>
      <c r="N188" s="97"/>
    </row>
    <row r="189" spans="4:31" s="9" customFormat="1">
      <c r="G189" s="97"/>
      <c r="K189" s="97"/>
      <c r="N189" s="97"/>
    </row>
    <row r="190" spans="4:31" s="9" customFormat="1">
      <c r="G190" s="97"/>
      <c r="K190" s="97"/>
      <c r="N190" s="97"/>
    </row>
    <row r="191" spans="4:31" s="9" customFormat="1">
      <c r="G191" s="97"/>
      <c r="K191" s="97"/>
      <c r="N191" s="97"/>
    </row>
    <row r="192" spans="4:31" s="9" customFormat="1">
      <c r="G192" s="97"/>
      <c r="K192" s="97"/>
      <c r="N192" s="97"/>
    </row>
    <row r="193" spans="6:25" s="9" customFormat="1">
      <c r="G193" s="97"/>
      <c r="K193" s="97"/>
      <c r="N193" s="97"/>
    </row>
    <row r="194" spans="6:25" s="9" customFormat="1">
      <c r="G194" s="97"/>
      <c r="K194" s="97"/>
      <c r="N194" s="97"/>
    </row>
    <row r="195" spans="6:25" s="9" customFormat="1">
      <c r="G195" s="97"/>
      <c r="K195" s="97"/>
      <c r="N195" s="97"/>
    </row>
    <row r="196" spans="6:25" s="9" customFormat="1">
      <c r="G196" s="97"/>
      <c r="K196" s="97"/>
      <c r="N196" s="97"/>
      <c r="Y196" s="116"/>
    </row>
    <row r="197" spans="6:25" s="9" customFormat="1">
      <c r="G197" s="97"/>
      <c r="K197" s="97"/>
      <c r="N197" s="97"/>
    </row>
    <row r="198" spans="6:25" s="9" customFormat="1">
      <c r="G198" s="97"/>
      <c r="K198" s="97"/>
      <c r="N198" s="97"/>
    </row>
    <row r="199" spans="6:25" s="9" customFormat="1">
      <c r="G199" s="97"/>
      <c r="K199" s="97"/>
      <c r="N199" s="97"/>
    </row>
    <row r="200" spans="6:25" s="9" customFormat="1">
      <c r="G200" s="97"/>
      <c r="K200" s="97"/>
      <c r="N200" s="97"/>
    </row>
    <row r="201" spans="6:25" s="9" customFormat="1">
      <c r="G201" s="97"/>
      <c r="K201" s="97"/>
      <c r="N201" s="97"/>
    </row>
    <row r="202" spans="6:25" s="9" customFormat="1">
      <c r="G202" s="97"/>
      <c r="K202" s="97"/>
      <c r="N202" s="97"/>
    </row>
    <row r="203" spans="6:25" s="9" customFormat="1">
      <c r="G203" s="97"/>
      <c r="K203" s="97"/>
      <c r="N203" s="97"/>
    </row>
    <row r="204" spans="6:25" s="9" customFormat="1">
      <c r="G204" s="97"/>
      <c r="K204" s="97"/>
      <c r="N204" s="97"/>
    </row>
    <row r="205" spans="6:25" s="9" customFormat="1">
      <c r="G205" s="97"/>
      <c r="K205" s="97"/>
      <c r="N205" s="97"/>
    </row>
    <row r="206" spans="6:25" s="9" customFormat="1">
      <c r="F206" s="117"/>
      <c r="G206" s="97"/>
      <c r="J206" s="111"/>
      <c r="K206" s="183"/>
      <c r="N206" s="97"/>
    </row>
    <row r="207" spans="6:25" s="9" customFormat="1">
      <c r="F207" s="117"/>
      <c r="G207" s="97"/>
      <c r="J207" s="111"/>
      <c r="K207" s="183"/>
      <c r="N207" s="97"/>
    </row>
    <row r="208" spans="6:25" s="9" customFormat="1">
      <c r="F208" s="117"/>
      <c r="G208" s="97"/>
      <c r="J208" s="111"/>
      <c r="K208" s="183"/>
      <c r="N208" s="97"/>
    </row>
    <row r="209" spans="3:31" s="14" customFormat="1" ht="23.25">
      <c r="C209" s="632" t="s">
        <v>57</v>
      </c>
      <c r="D209" s="632"/>
      <c r="E209" s="632"/>
      <c r="F209" s="632"/>
      <c r="G209" s="632"/>
      <c r="H209" s="632"/>
      <c r="I209" s="632"/>
      <c r="J209" s="632"/>
      <c r="K209" s="633"/>
      <c r="L209" s="633"/>
      <c r="N209" s="13"/>
    </row>
    <row r="210" spans="3:31" s="9" customFormat="1">
      <c r="G210" s="97"/>
      <c r="K210" s="97"/>
      <c r="N210" s="97"/>
    </row>
    <row r="211" spans="3:31" s="14" customFormat="1" ht="12.75" customHeight="1">
      <c r="C211" s="27"/>
      <c r="D211" s="27"/>
      <c r="E211" s="244" t="s">
        <v>363</v>
      </c>
      <c r="F211" s="27"/>
      <c r="G211" s="13"/>
      <c r="H211" s="13"/>
      <c r="K211" s="13"/>
      <c r="N211" s="13"/>
    </row>
    <row r="212" spans="3:31" s="14" customFormat="1" ht="12.75" customHeight="1">
      <c r="D212" s="118"/>
      <c r="E212" s="118"/>
      <c r="F212" s="118"/>
      <c r="G212" s="167"/>
      <c r="H212" s="118"/>
      <c r="K212" s="13"/>
      <c r="N212" s="13"/>
    </row>
    <row r="213" spans="3:31" s="14" customFormat="1" ht="12.75" customHeight="1">
      <c r="C213" s="360" t="s">
        <v>142</v>
      </c>
      <c r="D213" s="119"/>
      <c r="E213" s="119"/>
      <c r="F213" s="119"/>
      <c r="G213" s="168"/>
      <c r="H213" s="119"/>
      <c r="I213" s="76" t="s">
        <v>358</v>
      </c>
      <c r="K213" s="13"/>
      <c r="N213" s="181" t="s">
        <v>65</v>
      </c>
      <c r="O213" s="50"/>
      <c r="P213" s="50"/>
      <c r="Q213" s="50"/>
      <c r="R213" s="50"/>
      <c r="S213" s="50"/>
      <c r="T213" s="50"/>
      <c r="U213" s="50" t="s">
        <v>393</v>
      </c>
      <c r="V213" s="50"/>
      <c r="W213" s="50"/>
      <c r="X213" s="50"/>
      <c r="Y213" s="50"/>
      <c r="Z213" s="50"/>
      <c r="AA213" s="15" t="s">
        <v>115</v>
      </c>
    </row>
    <row r="214" spans="3:31" s="14" customFormat="1" ht="12.75" customHeight="1">
      <c r="C214" s="712" t="s">
        <v>27</v>
      </c>
      <c r="D214" s="634" t="s">
        <v>37</v>
      </c>
      <c r="E214" s="634"/>
      <c r="F214" s="634"/>
      <c r="G214" s="722" t="s">
        <v>356</v>
      </c>
      <c r="H214"/>
      <c r="I214" s="635" t="s">
        <v>265</v>
      </c>
      <c r="J214" s="635"/>
      <c r="K214" s="635"/>
      <c r="L214" s="635"/>
      <c r="N214" s="724" t="s">
        <v>329</v>
      </c>
      <c r="O214" s="620" t="s">
        <v>330</v>
      </c>
      <c r="P214" s="642" t="s">
        <v>265</v>
      </c>
      <c r="Q214" s="643"/>
      <c r="R214" s="643"/>
      <c r="S214" s="644"/>
      <c r="U214" s="617" t="s">
        <v>331</v>
      </c>
      <c r="V214" s="635" t="s">
        <v>271</v>
      </c>
      <c r="W214" s="635"/>
      <c r="X214" s="635"/>
      <c r="Y214" s="635"/>
      <c r="AA214" s="611" t="s">
        <v>167</v>
      </c>
      <c r="AB214" s="611"/>
      <c r="AC214" s="611"/>
      <c r="AD214" s="611"/>
      <c r="AE214" s="611"/>
    </row>
    <row r="215" spans="3:31" s="14" customFormat="1" ht="12.75" customHeight="1">
      <c r="C215" s="713"/>
      <c r="D215" s="364" t="s">
        <v>35</v>
      </c>
      <c r="E215" s="364" t="s">
        <v>36</v>
      </c>
      <c r="F215" s="364" t="s">
        <v>28</v>
      </c>
      <c r="G215" s="723"/>
      <c r="H215"/>
      <c r="I215" s="364" t="s">
        <v>38</v>
      </c>
      <c r="J215" s="364" t="s">
        <v>39</v>
      </c>
      <c r="K215" s="363" t="s">
        <v>28</v>
      </c>
      <c r="L215" s="365" t="s">
        <v>26</v>
      </c>
      <c r="N215" s="725"/>
      <c r="O215" s="622"/>
      <c r="P215" s="364" t="s">
        <v>38</v>
      </c>
      <c r="Q215" s="364" t="s">
        <v>39</v>
      </c>
      <c r="R215" s="364" t="s">
        <v>28</v>
      </c>
      <c r="S215" s="365" t="s">
        <v>26</v>
      </c>
      <c r="U215" s="619"/>
      <c r="V215" s="364" t="s">
        <v>38</v>
      </c>
      <c r="W215" s="364" t="s">
        <v>39</v>
      </c>
      <c r="X215" s="364" t="s">
        <v>28</v>
      </c>
      <c r="Y215" s="365" t="s">
        <v>26</v>
      </c>
      <c r="AA215" s="669" t="s">
        <v>320</v>
      </c>
      <c r="AB215" s="670"/>
      <c r="AC215" s="670"/>
      <c r="AD215" s="670"/>
      <c r="AE215" s="671"/>
    </row>
    <row r="216" spans="3:31" s="14" customFormat="1" ht="12.75" customHeight="1">
      <c r="C216" s="368" t="s">
        <v>203</v>
      </c>
      <c r="D216" s="304"/>
      <c r="E216" s="304"/>
      <c r="F216" s="304"/>
      <c r="G216" s="370">
        <f>_xlfn.IFNA(VLOOKUP($C216,'Facteurs d''émission'!$D$2:$I$344,2,FALSE),"Non renseigné")</f>
        <v>0.25900000000000001</v>
      </c>
      <c r="H216"/>
      <c r="I216" s="5">
        <f>IFERROR(D216*$G216,0)</f>
        <v>0</v>
      </c>
      <c r="J216" s="5">
        <f>IFERROR(E216*$G216,0)</f>
        <v>0</v>
      </c>
      <c r="K216" s="5">
        <f>IFERROR(F216*$G216,0)</f>
        <v>0</v>
      </c>
      <c r="L216" s="5">
        <f t="shared" ref="L216:L220" si="21">SUM(I216:K216)</f>
        <v>0</v>
      </c>
      <c r="N216" s="110">
        <f>_xlfn.IFNA(VLOOKUP($C216,'Facteurs d''émission'!$D$2:$I$344,4,FALSE),"Non présent dans la base")</f>
        <v>0.2</v>
      </c>
      <c r="O216" s="291"/>
      <c r="P216" s="103">
        <f t="shared" ref="P216:R217" si="22">I216*(1-(1-$N216)*(1-$O216))</f>
        <v>0</v>
      </c>
      <c r="Q216" s="103">
        <f t="shared" si="22"/>
        <v>0</v>
      </c>
      <c r="R216" s="103">
        <f t="shared" si="22"/>
        <v>0</v>
      </c>
      <c r="S216" s="5">
        <f t="shared" ref="S216:S221" si="23">SUM(P216:R216)</f>
        <v>0</v>
      </c>
      <c r="T216" s="14" t="str">
        <f>IF(COUNTA(D216:F216)*COUNTA(O216)&gt;0,COUNTA(D216:F216),"")</f>
        <v/>
      </c>
      <c r="U216" s="292">
        <v>0.5</v>
      </c>
      <c r="V216" s="5">
        <f t="shared" ref="V216:X217" si="24">$U216*I216</f>
        <v>0</v>
      </c>
      <c r="W216" s="5">
        <f t="shared" si="24"/>
        <v>0</v>
      </c>
      <c r="X216" s="5">
        <f t="shared" si="24"/>
        <v>0</v>
      </c>
      <c r="Y216" s="5">
        <f>SUM(V216:X216)</f>
        <v>0</v>
      </c>
      <c r="AA216" s="672"/>
      <c r="AB216" s="673"/>
      <c r="AC216" s="673"/>
      <c r="AD216" s="673"/>
      <c r="AE216" s="674"/>
    </row>
    <row r="217" spans="3:31" s="14" customFormat="1" ht="12.75" customHeight="1">
      <c r="C217" s="368" t="s">
        <v>204</v>
      </c>
      <c r="D217" s="304"/>
      <c r="E217" s="304"/>
      <c r="F217" s="304"/>
      <c r="G217" s="370">
        <f>_xlfn.IFNA(VLOOKUP($C217,'Facteurs d''émission'!$D$2:$I$344,2,FALSE),"Non renseigné")</f>
        <v>0.251</v>
      </c>
      <c r="H217"/>
      <c r="I217" s="5">
        <f t="shared" ref="I217:I221" si="25">IFERROR(D217*$G217,0)</f>
        <v>0</v>
      </c>
      <c r="J217" s="5">
        <f t="shared" ref="J217:J221" si="26">IFERROR(E217*$G217,0)</f>
        <v>0</v>
      </c>
      <c r="K217" s="5">
        <f t="shared" ref="K217:K221" si="27">IFERROR(F217*$G217,0)</f>
        <v>0</v>
      </c>
      <c r="L217" s="5">
        <f t="shared" si="21"/>
        <v>0</v>
      </c>
      <c r="N217" s="110">
        <f>_xlfn.IFNA(VLOOKUP($C217,'Facteurs d''émission'!$D$2:$I$344,4,FALSE),"Non présent dans la base")</f>
        <v>0.2</v>
      </c>
      <c r="O217" s="291"/>
      <c r="P217" s="103">
        <f t="shared" si="22"/>
        <v>0</v>
      </c>
      <c r="Q217" s="103">
        <f t="shared" si="22"/>
        <v>0</v>
      </c>
      <c r="R217" s="103">
        <f t="shared" si="22"/>
        <v>0</v>
      </c>
      <c r="S217" s="5">
        <f t="shared" si="23"/>
        <v>0</v>
      </c>
      <c r="T217" s="14" t="str">
        <f t="shared" ref="T217:T221" si="28">IF(COUNTA(D217:F217)*COUNTA(O217)&gt;0,COUNTA(D217:F217),"")</f>
        <v/>
      </c>
      <c r="U217" s="292"/>
      <c r="V217" s="5">
        <f t="shared" si="24"/>
        <v>0</v>
      </c>
      <c r="W217" s="5">
        <f t="shared" si="24"/>
        <v>0</v>
      </c>
      <c r="X217" s="5">
        <f t="shared" si="24"/>
        <v>0</v>
      </c>
      <c r="Y217" s="5">
        <f>SUM(V217:X217)</f>
        <v>0</v>
      </c>
      <c r="AA217" s="672"/>
      <c r="AB217" s="673"/>
      <c r="AC217" s="673"/>
      <c r="AD217" s="673"/>
      <c r="AE217" s="674"/>
    </row>
    <row r="218" spans="3:31" s="14" customFormat="1" ht="12.75" customHeight="1">
      <c r="C218" s="369" t="s">
        <v>357</v>
      </c>
      <c r="D218" s="304"/>
      <c r="E218" s="304"/>
      <c r="F218" s="304"/>
      <c r="G218" s="370">
        <f>_xlfn.IFNA(VLOOKUP($C218,'Facteurs d''émission'!$D$2:$I$344,2,FALSE),"Non renseigné")</f>
        <v>0</v>
      </c>
      <c r="H218"/>
      <c r="I218" s="5">
        <f t="shared" si="25"/>
        <v>0</v>
      </c>
      <c r="J218" s="5">
        <f t="shared" si="26"/>
        <v>0</v>
      </c>
      <c r="K218" s="5">
        <f t="shared" si="27"/>
        <v>0</v>
      </c>
      <c r="L218" s="5">
        <f t="shared" si="21"/>
        <v>0</v>
      </c>
      <c r="N218" s="110">
        <f>_xlfn.IFNA(VLOOKUP($C218,'Facteurs d''émission'!$D$2:$I$344,4,FALSE),"Non présent dans la base")</f>
        <v>0</v>
      </c>
      <c r="O218" s="291"/>
      <c r="P218" s="103">
        <f t="shared" ref="P218:R219" si="29">I218*(1-(1-$N218)*(1-$O218))</f>
        <v>0</v>
      </c>
      <c r="Q218" s="103">
        <f t="shared" si="29"/>
        <v>0</v>
      </c>
      <c r="R218" s="103">
        <f t="shared" si="29"/>
        <v>0</v>
      </c>
      <c r="S218" s="5">
        <f t="shared" si="23"/>
        <v>0</v>
      </c>
      <c r="T218" s="14" t="str">
        <f t="shared" si="28"/>
        <v/>
      </c>
      <c r="U218" s="292"/>
      <c r="V218" s="103">
        <f t="shared" ref="V218:X219" si="30">$U218*I218</f>
        <v>0</v>
      </c>
      <c r="W218" s="103">
        <f t="shared" si="30"/>
        <v>0</v>
      </c>
      <c r="X218" s="103">
        <f t="shared" si="30"/>
        <v>0</v>
      </c>
      <c r="Y218" s="5">
        <f t="shared" ref="Y218:Y221" si="31">SUM(V218:X218)</f>
        <v>0</v>
      </c>
      <c r="AA218" s="672"/>
      <c r="AB218" s="673"/>
      <c r="AC218" s="673"/>
      <c r="AD218" s="673"/>
      <c r="AE218" s="674"/>
    </row>
    <row r="219" spans="3:31" s="14" customFormat="1" ht="12.75" customHeight="1">
      <c r="C219" s="369" t="s">
        <v>357</v>
      </c>
      <c r="D219" s="304"/>
      <c r="E219" s="304"/>
      <c r="F219" s="304"/>
      <c r="G219" s="370">
        <f>_xlfn.IFNA(VLOOKUP($C219,'Facteurs d''émission'!$D$2:$I$344,2,FALSE),"Non renseigné")</f>
        <v>0</v>
      </c>
      <c r="H219"/>
      <c r="I219" s="5">
        <f t="shared" si="25"/>
        <v>0</v>
      </c>
      <c r="J219" s="5">
        <f t="shared" si="26"/>
        <v>0</v>
      </c>
      <c r="K219" s="5">
        <f t="shared" si="27"/>
        <v>0</v>
      </c>
      <c r="L219" s="5">
        <f t="shared" si="21"/>
        <v>0</v>
      </c>
      <c r="N219" s="110">
        <f>_xlfn.IFNA(VLOOKUP($C219,'Facteurs d''émission'!$D$2:$I$344,4,FALSE),"Non présent dans la base")</f>
        <v>0</v>
      </c>
      <c r="O219" s="291"/>
      <c r="P219" s="103">
        <f t="shared" si="29"/>
        <v>0</v>
      </c>
      <c r="Q219" s="103">
        <f t="shared" si="29"/>
        <v>0</v>
      </c>
      <c r="R219" s="103">
        <f t="shared" si="29"/>
        <v>0</v>
      </c>
      <c r="S219" s="5">
        <f t="shared" si="23"/>
        <v>0</v>
      </c>
      <c r="T219" s="14" t="str">
        <f t="shared" si="28"/>
        <v/>
      </c>
      <c r="U219" s="292"/>
      <c r="V219" s="103">
        <f t="shared" si="30"/>
        <v>0</v>
      </c>
      <c r="W219" s="103">
        <f t="shared" si="30"/>
        <v>0</v>
      </c>
      <c r="X219" s="103">
        <f t="shared" si="30"/>
        <v>0</v>
      </c>
      <c r="Y219" s="5">
        <f t="shared" si="31"/>
        <v>0</v>
      </c>
      <c r="AA219" s="672"/>
      <c r="AB219" s="673"/>
      <c r="AC219" s="673"/>
      <c r="AD219" s="673"/>
      <c r="AE219" s="674"/>
    </row>
    <row r="220" spans="3:31" s="14" customFormat="1" ht="12.75" customHeight="1">
      <c r="C220" s="369" t="s">
        <v>357</v>
      </c>
      <c r="D220" s="304"/>
      <c r="E220" s="304"/>
      <c r="F220" s="304"/>
      <c r="G220" s="370">
        <f>_xlfn.IFNA(VLOOKUP($C220,'Facteurs d''émission'!$D$2:$I$344,2,FALSE),"Non renseigné")</f>
        <v>0</v>
      </c>
      <c r="H220"/>
      <c r="I220" s="5">
        <f t="shared" si="25"/>
        <v>0</v>
      </c>
      <c r="J220" s="5">
        <f t="shared" si="26"/>
        <v>0</v>
      </c>
      <c r="K220" s="5">
        <f t="shared" si="27"/>
        <v>0</v>
      </c>
      <c r="L220" s="5">
        <f t="shared" si="21"/>
        <v>0</v>
      </c>
      <c r="N220" s="110">
        <f>_xlfn.IFNA(VLOOKUP($C220,'Facteurs d''émission'!$D$2:$I$344,4,FALSE),"Non présent dans la base")</f>
        <v>0</v>
      </c>
      <c r="O220" s="291"/>
      <c r="P220" s="103">
        <f t="shared" ref="P220:R221" si="32">I220*(1-(1-$N220)*(1-$O220))</f>
        <v>0</v>
      </c>
      <c r="Q220" s="103">
        <f t="shared" si="32"/>
        <v>0</v>
      </c>
      <c r="R220" s="103">
        <f t="shared" si="32"/>
        <v>0</v>
      </c>
      <c r="S220" s="5">
        <f t="shared" si="23"/>
        <v>0</v>
      </c>
      <c r="T220" s="14" t="str">
        <f t="shared" si="28"/>
        <v/>
      </c>
      <c r="U220" s="292"/>
      <c r="V220" s="103">
        <f t="shared" ref="V220:X221" si="33">$U220*I220</f>
        <v>0</v>
      </c>
      <c r="W220" s="103">
        <f t="shared" si="33"/>
        <v>0</v>
      </c>
      <c r="X220" s="103">
        <f t="shared" si="33"/>
        <v>0</v>
      </c>
      <c r="Y220" s="5">
        <f t="shared" si="31"/>
        <v>0</v>
      </c>
      <c r="AA220" s="672"/>
      <c r="AB220" s="673"/>
      <c r="AC220" s="673"/>
      <c r="AD220" s="673"/>
      <c r="AE220" s="674"/>
    </row>
    <row r="221" spans="3:31" s="14" customFormat="1" ht="12.75" customHeight="1">
      <c r="C221" s="369" t="s">
        <v>357</v>
      </c>
      <c r="D221" s="304"/>
      <c r="E221" s="304"/>
      <c r="F221" s="304"/>
      <c r="G221" s="370">
        <f>_xlfn.IFNA(VLOOKUP($C221,'Facteurs d''émission'!$D$2:$I$344,2,FALSE),"Non renseigné")</f>
        <v>0</v>
      </c>
      <c r="H221"/>
      <c r="I221" s="5">
        <f t="shared" si="25"/>
        <v>0</v>
      </c>
      <c r="J221" s="5">
        <f t="shared" si="26"/>
        <v>0</v>
      </c>
      <c r="K221" s="5">
        <f t="shared" si="27"/>
        <v>0</v>
      </c>
      <c r="L221" s="5">
        <f>SUM(I221:K221)</f>
        <v>0</v>
      </c>
      <c r="N221" s="110">
        <f>_xlfn.IFNA(VLOOKUP($C221,'Facteurs d''émission'!$D$2:$I$344,4,FALSE),"Non présent dans la base")</f>
        <v>0</v>
      </c>
      <c r="O221" s="291"/>
      <c r="P221" s="103">
        <f t="shared" si="32"/>
        <v>0</v>
      </c>
      <c r="Q221" s="103">
        <f t="shared" si="32"/>
        <v>0</v>
      </c>
      <c r="R221" s="103">
        <f t="shared" si="32"/>
        <v>0</v>
      </c>
      <c r="S221" s="5">
        <f t="shared" si="23"/>
        <v>0</v>
      </c>
      <c r="T221" s="14" t="str">
        <f t="shared" si="28"/>
        <v/>
      </c>
      <c r="U221" s="292"/>
      <c r="V221" s="103">
        <f t="shared" si="33"/>
        <v>0</v>
      </c>
      <c r="W221" s="103">
        <f t="shared" si="33"/>
        <v>0</v>
      </c>
      <c r="X221" s="103">
        <f t="shared" si="33"/>
        <v>0</v>
      </c>
      <c r="Y221" s="5">
        <f t="shared" si="31"/>
        <v>0</v>
      </c>
      <c r="AA221" s="672"/>
      <c r="AB221" s="673"/>
      <c r="AC221" s="673"/>
      <c r="AD221" s="673"/>
      <c r="AE221" s="674"/>
    </row>
    <row r="222" spans="3:31" s="15" customFormat="1" ht="12.75" customHeight="1">
      <c r="C222" s="120" t="s">
        <v>26</v>
      </c>
      <c r="D222" s="391">
        <f>SUM(D216:D221)</f>
        <v>0</v>
      </c>
      <c r="E222" s="371">
        <f t="shared" ref="E222:F222" si="34">SUM(E216:E221)</f>
        <v>0</v>
      </c>
      <c r="F222" s="371">
        <f t="shared" si="34"/>
        <v>0</v>
      </c>
      <c r="G222" s="366"/>
      <c r="H222"/>
      <c r="I222" s="367">
        <f>SUM(I216:I221)</f>
        <v>0</v>
      </c>
      <c r="J222" s="71">
        <f t="shared" ref="J222:L222" si="35">SUM(J216:J221)</f>
        <v>0</v>
      </c>
      <c r="K222" s="71">
        <f t="shared" si="35"/>
        <v>0</v>
      </c>
      <c r="L222" s="71">
        <f t="shared" si="35"/>
        <v>0</v>
      </c>
      <c r="N222" s="696" t="str">
        <f>IF(COUNTA(D216:F221)&gt;SUM(T216:T221),"! Remplir une incertitude !","")</f>
        <v/>
      </c>
      <c r="O222" s="697"/>
      <c r="P222" s="62">
        <f>SUM(P216:P221)</f>
        <v>0</v>
      </c>
      <c r="Q222" s="62">
        <f t="shared" ref="Q222:S222" si="36">SUM(Q216:Q221)</f>
        <v>0</v>
      </c>
      <c r="R222" s="62">
        <f t="shared" si="36"/>
        <v>0</v>
      </c>
      <c r="S222" s="62">
        <f t="shared" si="36"/>
        <v>0</v>
      </c>
      <c r="U222" s="372"/>
      <c r="V222" s="62">
        <f>SUM(V216:V221)</f>
        <v>0</v>
      </c>
      <c r="W222" s="62">
        <f t="shared" ref="W222:Y222" si="37">SUM(W216:W221)</f>
        <v>0</v>
      </c>
      <c r="X222" s="62">
        <f t="shared" si="37"/>
        <v>0</v>
      </c>
      <c r="Y222" s="62">
        <f t="shared" si="37"/>
        <v>0</v>
      </c>
      <c r="AA222" s="678" t="str">
        <f>IF(Y222&gt;0,IF(AA215="","Attention: vous devez planifier une action afin de remplir votre objectif",""),"")</f>
        <v/>
      </c>
      <c r="AB222" s="678"/>
      <c r="AC222" s="678"/>
      <c r="AD222" s="678"/>
      <c r="AE222" s="678"/>
    </row>
    <row r="223" spans="3:31" s="14" customFormat="1" ht="37.5" customHeight="1">
      <c r="C223" s="121"/>
      <c r="D223" s="119"/>
      <c r="E223" s="119"/>
      <c r="F223" s="119"/>
      <c r="G223" s="168"/>
      <c r="H223" s="122"/>
      <c r="I223" s="13"/>
      <c r="J223" s="13"/>
      <c r="K223" s="13"/>
      <c r="L223" s="76"/>
      <c r="N223" s="13"/>
      <c r="P223" s="122"/>
      <c r="Q223" s="13"/>
      <c r="R223" s="13"/>
      <c r="S223" s="13"/>
      <c r="T223" s="76"/>
      <c r="W223" s="122"/>
      <c r="X223" s="13"/>
      <c r="Y223" s="13"/>
      <c r="Z223" s="13"/>
      <c r="AA223" s="76"/>
    </row>
    <row r="224" spans="3:31" s="14" customFormat="1" ht="12.75" customHeight="1">
      <c r="C224" s="121"/>
      <c r="D224" s="119"/>
      <c r="E224" s="15" t="s">
        <v>362</v>
      </c>
      <c r="F224" s="119"/>
      <c r="G224" s="168"/>
      <c r="H224" s="122"/>
      <c r="I224" s="13"/>
      <c r="J224" s="13"/>
      <c r="K224" s="13"/>
      <c r="L224" s="76"/>
      <c r="N224" s="13"/>
      <c r="P224" s="122"/>
      <c r="Q224" s="13"/>
      <c r="R224" s="13"/>
      <c r="S224" s="13"/>
      <c r="T224" s="76"/>
      <c r="W224" s="122"/>
      <c r="X224" s="13"/>
      <c r="Y224" s="13"/>
      <c r="Z224" s="13"/>
      <c r="AA224" s="76"/>
    </row>
    <row r="225" spans="3:31" s="14" customFormat="1" ht="12.75" customHeight="1">
      <c r="C225" s="121"/>
      <c r="D225" s="119"/>
      <c r="E225" s="119"/>
      <c r="F225" s="119"/>
      <c r="G225" s="168"/>
      <c r="H225" s="119"/>
      <c r="I225" s="119"/>
      <c r="J225" s="119"/>
      <c r="K225" s="168"/>
      <c r="L225" s="123"/>
      <c r="M225" s="123"/>
      <c r="N225" s="13"/>
      <c r="P225" s="76"/>
    </row>
    <row r="226" spans="3:31" s="14" customFormat="1" ht="12.75" customHeight="1">
      <c r="C226" s="360" t="s">
        <v>143</v>
      </c>
      <c r="D226" s="118"/>
      <c r="E226" s="118"/>
      <c r="F226" s="118"/>
      <c r="G226" s="167"/>
      <c r="H226" s="118"/>
      <c r="I226" s="76" t="s">
        <v>358</v>
      </c>
      <c r="K226" s="13"/>
      <c r="N226" s="181" t="s">
        <v>65</v>
      </c>
      <c r="O226" s="50"/>
      <c r="P226" s="50"/>
      <c r="Q226" s="50"/>
      <c r="R226" s="50"/>
      <c r="S226" s="50"/>
      <c r="T226" s="124"/>
      <c r="U226" s="50" t="s">
        <v>393</v>
      </c>
      <c r="V226" s="50"/>
      <c r="W226" s="50"/>
      <c r="X226" s="50"/>
      <c r="Y226" s="50"/>
      <c r="AA226" s="15" t="s">
        <v>115</v>
      </c>
    </row>
    <row r="227" spans="3:31" s="14" customFormat="1" ht="12.75" customHeight="1">
      <c r="C227" s="712" t="s">
        <v>97</v>
      </c>
      <c r="D227" s="700" t="s">
        <v>169</v>
      </c>
      <c r="E227" s="700"/>
      <c r="F227" s="700"/>
      <c r="G227" s="714" t="s">
        <v>390</v>
      </c>
      <c r="H227"/>
      <c r="I227" s="685" t="s">
        <v>265</v>
      </c>
      <c r="J227" s="685"/>
      <c r="K227" s="685"/>
      <c r="L227" s="685"/>
      <c r="N227" s="716" t="s">
        <v>329</v>
      </c>
      <c r="O227" s="617" t="s">
        <v>330</v>
      </c>
      <c r="P227" s="642" t="s">
        <v>265</v>
      </c>
      <c r="Q227" s="643"/>
      <c r="R227" s="643"/>
      <c r="S227" s="644"/>
      <c r="T227" s="11"/>
      <c r="U227" s="617" t="s">
        <v>331</v>
      </c>
      <c r="V227" s="635" t="s">
        <v>271</v>
      </c>
      <c r="W227" s="635"/>
      <c r="X227" s="635"/>
      <c r="Y227" s="635"/>
      <c r="AA227" s="611" t="s">
        <v>167</v>
      </c>
      <c r="AB227" s="611"/>
      <c r="AC227" s="611"/>
      <c r="AD227" s="611"/>
      <c r="AE227" s="611"/>
    </row>
    <row r="228" spans="3:31" s="14" customFormat="1" ht="12.75" customHeight="1">
      <c r="C228" s="713"/>
      <c r="D228" s="397" t="s">
        <v>35</v>
      </c>
      <c r="E228" s="364" t="s">
        <v>36</v>
      </c>
      <c r="F228" s="397" t="s">
        <v>28</v>
      </c>
      <c r="G228" s="715"/>
      <c r="H228"/>
      <c r="I228" s="364" t="s">
        <v>38</v>
      </c>
      <c r="J228" s="364" t="s">
        <v>39</v>
      </c>
      <c r="K228" s="363" t="s">
        <v>28</v>
      </c>
      <c r="L228" s="365" t="s">
        <v>26</v>
      </c>
      <c r="N228" s="717"/>
      <c r="O228" s="619"/>
      <c r="P228" s="364" t="s">
        <v>38</v>
      </c>
      <c r="Q228" s="364" t="s">
        <v>39</v>
      </c>
      <c r="R228" s="364" t="s">
        <v>28</v>
      </c>
      <c r="S228" s="365" t="s">
        <v>26</v>
      </c>
      <c r="T228" s="99"/>
      <c r="U228" s="619"/>
      <c r="V228" s="364" t="s">
        <v>38</v>
      </c>
      <c r="W228" s="364" t="s">
        <v>39</v>
      </c>
      <c r="X228" s="364" t="s">
        <v>28</v>
      </c>
      <c r="Y228" s="365" t="s">
        <v>26</v>
      </c>
      <c r="AA228" s="669" t="s">
        <v>318</v>
      </c>
      <c r="AB228" s="670"/>
      <c r="AC228" s="670"/>
      <c r="AD228" s="670"/>
      <c r="AE228" s="671"/>
    </row>
    <row r="229" spans="3:31" s="14" customFormat="1" ht="12.75" customHeight="1">
      <c r="C229" s="387" t="s">
        <v>247</v>
      </c>
      <c r="D229" s="305"/>
      <c r="E229" s="304"/>
      <c r="F229" s="305"/>
      <c r="G229" s="348">
        <f>_xlfn.IFNA(VLOOKUP($C229,'Facteurs d''émission'!$D$2:$I$344,2,FALSE),"Non renseigné")</f>
        <v>0.182</v>
      </c>
      <c r="H229"/>
      <c r="I229" s="125">
        <f t="shared" ref="I229:K238" si="38">D229*$G229</f>
        <v>0</v>
      </c>
      <c r="J229" s="125">
        <f t="shared" si="38"/>
        <v>0</v>
      </c>
      <c r="K229" s="125">
        <f t="shared" si="38"/>
        <v>0</v>
      </c>
      <c r="L229" s="5">
        <f>SUM(I229:K229)</f>
        <v>0</v>
      </c>
      <c r="N229" s="298">
        <f>_xlfn.IFNA(VLOOKUP($C229,'Facteurs d''émission'!$D$2:$I$344,4,FALSE),"Non présent dans la base")</f>
        <v>0.6</v>
      </c>
      <c r="O229" s="291"/>
      <c r="P229" s="5">
        <f t="shared" ref="P229:R238" si="39">I229*(1-(1-$N229)*(1-$O229))</f>
        <v>0</v>
      </c>
      <c r="Q229" s="5">
        <f t="shared" si="39"/>
        <v>0</v>
      </c>
      <c r="R229" s="5">
        <f t="shared" si="39"/>
        <v>0</v>
      </c>
      <c r="S229" s="5">
        <f>SUM(P229:R229)</f>
        <v>0</v>
      </c>
      <c r="T229" s="14" t="str">
        <f>IF(COUNTA(D229:F229)*COUNTA(O229)&gt;0,COUNTA(D229:F229),"")</f>
        <v/>
      </c>
      <c r="U229" s="306"/>
      <c r="V229" s="5">
        <f t="shared" ref="V229:X238" si="40">$U229*I229</f>
        <v>0</v>
      </c>
      <c r="W229" s="5">
        <f t="shared" si="40"/>
        <v>0</v>
      </c>
      <c r="X229" s="5">
        <f t="shared" si="40"/>
        <v>0</v>
      </c>
      <c r="Y229" s="5">
        <f>SUM(V229:X229)</f>
        <v>0</v>
      </c>
      <c r="AA229" s="672"/>
      <c r="AB229" s="673"/>
      <c r="AC229" s="673"/>
      <c r="AD229" s="673"/>
      <c r="AE229" s="674"/>
    </row>
    <row r="230" spans="3:31" s="14" customFormat="1" ht="12.75" customHeight="1">
      <c r="C230" s="196" t="s">
        <v>246</v>
      </c>
      <c r="D230" s="305"/>
      <c r="E230" s="304"/>
      <c r="F230" s="304"/>
      <c r="G230" s="348">
        <f>_xlfn.IFNA(VLOOKUP($C230,'Facteurs d''émission'!$D$2:$I$344,2,FALSE),"Non renseigné")</f>
        <v>0.16700000000000001</v>
      </c>
      <c r="H230"/>
      <c r="I230" s="125">
        <f t="shared" si="38"/>
        <v>0</v>
      </c>
      <c r="J230" s="125">
        <f t="shared" si="38"/>
        <v>0</v>
      </c>
      <c r="K230" s="125">
        <f t="shared" si="38"/>
        <v>0</v>
      </c>
      <c r="L230" s="5">
        <f>SUM(I230:K230)</f>
        <v>0</v>
      </c>
      <c r="N230" s="298">
        <f>_xlfn.IFNA(VLOOKUP($C230,'Facteurs d''émission'!$D$2:$I$344,4,FALSE),"Non présent dans la base")</f>
        <v>0.6</v>
      </c>
      <c r="O230" s="291"/>
      <c r="P230" s="5">
        <f t="shared" si="39"/>
        <v>0</v>
      </c>
      <c r="Q230" s="5">
        <f t="shared" si="39"/>
        <v>0</v>
      </c>
      <c r="R230" s="5">
        <f t="shared" si="39"/>
        <v>0</v>
      </c>
      <c r="S230" s="5">
        <f>SUM(P230:R230)</f>
        <v>0</v>
      </c>
      <c r="T230" s="14" t="str">
        <f>IF(COUNTA(D230:F230)*COUNTA(O230)&gt;0,COUNTA(D230:F230),"")</f>
        <v/>
      </c>
      <c r="U230" s="306"/>
      <c r="V230" s="5">
        <f t="shared" si="40"/>
        <v>0</v>
      </c>
      <c r="W230" s="5">
        <f t="shared" si="40"/>
        <v>0</v>
      </c>
      <c r="X230" s="5">
        <f t="shared" si="40"/>
        <v>0</v>
      </c>
      <c r="Y230" s="5">
        <f>SUM(V230:X230)</f>
        <v>0</v>
      </c>
      <c r="AA230" s="672"/>
      <c r="AB230" s="673"/>
      <c r="AC230" s="673"/>
      <c r="AD230" s="673"/>
      <c r="AE230" s="674"/>
    </row>
    <row r="231" spans="3:31" s="14" customFormat="1" ht="12.75" customHeight="1">
      <c r="C231" s="196" t="s">
        <v>248</v>
      </c>
      <c r="D231" s="305"/>
      <c r="E231" s="304"/>
      <c r="F231" s="304"/>
      <c r="G231" s="348">
        <f>_xlfn.IFNA(VLOOKUP($C231,'Facteurs d''émission'!$D$2:$I$344,2,FALSE),"Non renseigné")</f>
        <v>0.154</v>
      </c>
      <c r="H231"/>
      <c r="I231" s="125">
        <f t="shared" si="38"/>
        <v>0</v>
      </c>
      <c r="J231" s="125">
        <f t="shared" si="38"/>
        <v>0</v>
      </c>
      <c r="K231" s="125">
        <f t="shared" si="38"/>
        <v>0</v>
      </c>
      <c r="L231" s="5">
        <f>SUM(I231:K231)</f>
        <v>0</v>
      </c>
      <c r="N231" s="298">
        <f>_xlfn.IFNA(VLOOKUP($C231,'Facteurs d''émission'!$D$2:$I$344,4,FALSE),"Non présent dans la base")</f>
        <v>0.6</v>
      </c>
      <c r="O231" s="291"/>
      <c r="P231" s="5">
        <f t="shared" si="39"/>
        <v>0</v>
      </c>
      <c r="Q231" s="5">
        <f t="shared" si="39"/>
        <v>0</v>
      </c>
      <c r="R231" s="5">
        <f t="shared" si="39"/>
        <v>0</v>
      </c>
      <c r="S231" s="5">
        <f>SUM(P231:R231)</f>
        <v>0</v>
      </c>
      <c r="T231" s="14" t="str">
        <f>IF(COUNTA(D231:F231)*COUNTA(O231)&gt;0,COUNTA(D231:F231),"")</f>
        <v/>
      </c>
      <c r="U231" s="306"/>
      <c r="V231" s="5">
        <f t="shared" si="40"/>
        <v>0</v>
      </c>
      <c r="W231" s="5">
        <f t="shared" si="40"/>
        <v>0</v>
      </c>
      <c r="X231" s="5">
        <f t="shared" si="40"/>
        <v>0</v>
      </c>
      <c r="Y231" s="5">
        <f>SUM(V231:X231)</f>
        <v>0</v>
      </c>
      <c r="AA231" s="672"/>
      <c r="AB231" s="673"/>
      <c r="AC231" s="673"/>
      <c r="AD231" s="673"/>
      <c r="AE231" s="674"/>
    </row>
    <row r="232" spans="3:31" s="14" customFormat="1" ht="12.75" customHeight="1">
      <c r="C232" s="196" t="s">
        <v>359</v>
      </c>
      <c r="D232" s="305"/>
      <c r="E232" s="304"/>
      <c r="F232" s="304"/>
      <c r="G232" s="398">
        <f>_xlfn.IFNA(VLOOKUP($C232,'Facteurs d''émission'!$D$2:$I$344,2,FALSE),"Non renseigné")</f>
        <v>5.7000000000000002E-3</v>
      </c>
      <c r="H232"/>
      <c r="I232" s="125">
        <f t="shared" ref="I232:I237" si="41">D232*$G232</f>
        <v>0</v>
      </c>
      <c r="J232" s="125">
        <f t="shared" ref="J232:J237" si="42">E232*$G232</f>
        <v>0</v>
      </c>
      <c r="K232" s="125">
        <f t="shared" ref="K232:K237" si="43">F232*$G232</f>
        <v>0</v>
      </c>
      <c r="L232" s="5">
        <f t="shared" ref="L232:L237" si="44">SUM(I232:K232)</f>
        <v>0</v>
      </c>
      <c r="N232" s="298">
        <f>_xlfn.IFNA(VLOOKUP($C232,'Facteurs d''émission'!$D$2:$I$344,4,FALSE),"Non présent dans la base")</f>
        <v>0.2</v>
      </c>
      <c r="O232" s="289"/>
      <c r="P232" s="5">
        <f t="shared" ref="P232:P237" si="45">I232*(1-(1-$N232)*(1-$O232))</f>
        <v>0</v>
      </c>
      <c r="Q232" s="5">
        <f t="shared" ref="Q232:Q237" si="46">J232*(1-(1-$N232)*(1-$O232))</f>
        <v>0</v>
      </c>
      <c r="R232" s="5">
        <f t="shared" ref="R232:R237" si="47">K232*(1-(1-$N232)*(1-$O232))</f>
        <v>0</v>
      </c>
      <c r="S232" s="5">
        <f t="shared" ref="S232:S237" si="48">SUM(P232:R232)</f>
        <v>0</v>
      </c>
      <c r="U232" s="307"/>
      <c r="V232" s="5">
        <f t="shared" ref="V232:V237" si="49">$U232*I232</f>
        <v>0</v>
      </c>
      <c r="W232" s="5">
        <f t="shared" ref="W232:W237" si="50">$U232*J232</f>
        <v>0</v>
      </c>
      <c r="X232" s="5">
        <f t="shared" ref="X232:X237" si="51">$U232*K232</f>
        <v>0</v>
      </c>
      <c r="Y232" s="5">
        <f t="shared" ref="Y232:Y237" si="52">SUM(V232:X232)</f>
        <v>0</v>
      </c>
      <c r="AA232" s="672"/>
      <c r="AB232" s="673"/>
      <c r="AC232" s="673"/>
      <c r="AD232" s="673"/>
      <c r="AE232" s="674"/>
    </row>
    <row r="233" spans="3:31" s="14" customFormat="1" ht="12.75" customHeight="1">
      <c r="C233" s="196" t="s">
        <v>360</v>
      </c>
      <c r="D233" s="305"/>
      <c r="E233" s="304"/>
      <c r="F233" s="304"/>
      <c r="G233" s="398">
        <f>_xlfn.IFNA(VLOOKUP($C233,'Facteurs d''émission'!$D$2:$I$344,2,FALSE),"Non renseigné")</f>
        <v>5.7000000000000002E-3</v>
      </c>
      <c r="H233"/>
      <c r="I233" s="125">
        <f t="shared" si="41"/>
        <v>0</v>
      </c>
      <c r="J233" s="125">
        <f t="shared" si="42"/>
        <v>0</v>
      </c>
      <c r="K233" s="125">
        <f t="shared" si="43"/>
        <v>0</v>
      </c>
      <c r="L233" s="5">
        <f t="shared" si="44"/>
        <v>0</v>
      </c>
      <c r="N233" s="298">
        <f>_xlfn.IFNA(VLOOKUP($C233,'Facteurs d''émission'!$D$2:$I$344,4,FALSE),"Non présent dans la base")</f>
        <v>0.2</v>
      </c>
      <c r="O233" s="289"/>
      <c r="P233" s="5">
        <f t="shared" si="45"/>
        <v>0</v>
      </c>
      <c r="Q233" s="5">
        <f t="shared" si="46"/>
        <v>0</v>
      </c>
      <c r="R233" s="5">
        <f t="shared" si="47"/>
        <v>0</v>
      </c>
      <c r="S233" s="5">
        <f t="shared" si="48"/>
        <v>0</v>
      </c>
      <c r="U233" s="307"/>
      <c r="V233" s="5">
        <f t="shared" si="49"/>
        <v>0</v>
      </c>
      <c r="W233" s="5">
        <f t="shared" si="50"/>
        <v>0</v>
      </c>
      <c r="X233" s="5">
        <f t="shared" si="51"/>
        <v>0</v>
      </c>
      <c r="Y233" s="5">
        <f t="shared" si="52"/>
        <v>0</v>
      </c>
      <c r="AA233" s="672"/>
      <c r="AB233" s="673"/>
      <c r="AC233" s="673"/>
      <c r="AD233" s="673"/>
      <c r="AE233" s="674"/>
    </row>
    <row r="234" spans="3:31" s="14" customFormat="1" ht="12.75" customHeight="1">
      <c r="C234" s="196" t="s">
        <v>361</v>
      </c>
      <c r="D234" s="305"/>
      <c r="E234" s="304"/>
      <c r="F234" s="304"/>
      <c r="G234" s="398">
        <f>_xlfn.IFNA(VLOOKUP($C234,'Facteurs d''émission'!$D$2:$I$344,2,FALSE),"Non renseigné")</f>
        <v>6.0000000000000001E-3</v>
      </c>
      <c r="H234"/>
      <c r="I234" s="125">
        <f t="shared" si="41"/>
        <v>0</v>
      </c>
      <c r="J234" s="125">
        <f t="shared" si="42"/>
        <v>0</v>
      </c>
      <c r="K234" s="125">
        <f t="shared" si="43"/>
        <v>0</v>
      </c>
      <c r="L234" s="5">
        <f t="shared" si="44"/>
        <v>0</v>
      </c>
      <c r="N234" s="298">
        <f>_xlfn.IFNA(VLOOKUP($C234,'Facteurs d''émission'!$D$2:$I$344,4,FALSE),"Non présent dans la base")</f>
        <v>0.2</v>
      </c>
      <c r="O234" s="289"/>
      <c r="P234" s="5">
        <f t="shared" si="45"/>
        <v>0</v>
      </c>
      <c r="Q234" s="5">
        <f t="shared" si="46"/>
        <v>0</v>
      </c>
      <c r="R234" s="5">
        <f t="shared" si="47"/>
        <v>0</v>
      </c>
      <c r="S234" s="5">
        <f t="shared" si="48"/>
        <v>0</v>
      </c>
      <c r="U234" s="307"/>
      <c r="V234" s="5">
        <f t="shared" si="49"/>
        <v>0</v>
      </c>
      <c r="W234" s="5">
        <f t="shared" si="50"/>
        <v>0</v>
      </c>
      <c r="X234" s="5">
        <f t="shared" si="51"/>
        <v>0</v>
      </c>
      <c r="Y234" s="5">
        <f t="shared" si="52"/>
        <v>0</v>
      </c>
      <c r="AA234" s="672"/>
      <c r="AB234" s="673"/>
      <c r="AC234" s="673"/>
      <c r="AD234" s="673"/>
      <c r="AE234" s="674"/>
    </row>
    <row r="235" spans="3:31" s="14" customFormat="1" ht="12.75" customHeight="1">
      <c r="C235" s="196" t="s">
        <v>357</v>
      </c>
      <c r="D235" s="305"/>
      <c r="E235" s="304"/>
      <c r="F235" s="304"/>
      <c r="G235" s="398">
        <f>_xlfn.IFNA(VLOOKUP($C235,'Facteurs d''émission'!$D$2:$I$344,2,FALSE),"Non renseigné")</f>
        <v>0</v>
      </c>
      <c r="H235"/>
      <c r="I235" s="125">
        <f t="shared" si="41"/>
        <v>0</v>
      </c>
      <c r="J235" s="125">
        <f t="shared" si="42"/>
        <v>0</v>
      </c>
      <c r="K235" s="125">
        <f t="shared" si="43"/>
        <v>0</v>
      </c>
      <c r="L235" s="5">
        <f t="shared" si="44"/>
        <v>0</v>
      </c>
      <c r="N235" s="298">
        <f>_xlfn.IFNA(VLOOKUP($C235,'Facteurs d''émission'!$D$2:$I$344,4,FALSE),"Non présent dans la base")</f>
        <v>0</v>
      </c>
      <c r="O235" s="289"/>
      <c r="P235" s="5">
        <f t="shared" si="45"/>
        <v>0</v>
      </c>
      <c r="Q235" s="5">
        <f t="shared" si="46"/>
        <v>0</v>
      </c>
      <c r="R235" s="5">
        <f t="shared" si="47"/>
        <v>0</v>
      </c>
      <c r="S235" s="5">
        <f t="shared" si="48"/>
        <v>0</v>
      </c>
      <c r="U235" s="307"/>
      <c r="V235" s="5">
        <f t="shared" si="49"/>
        <v>0</v>
      </c>
      <c r="W235" s="5">
        <f t="shared" si="50"/>
        <v>0</v>
      </c>
      <c r="X235" s="5">
        <f t="shared" si="51"/>
        <v>0</v>
      </c>
      <c r="Y235" s="5">
        <f t="shared" si="52"/>
        <v>0</v>
      </c>
      <c r="AA235" s="672"/>
      <c r="AB235" s="673"/>
      <c r="AC235" s="673"/>
      <c r="AD235" s="673"/>
      <c r="AE235" s="674"/>
    </row>
    <row r="236" spans="3:31" s="14" customFormat="1" ht="12.75" customHeight="1">
      <c r="C236" s="196" t="s">
        <v>357</v>
      </c>
      <c r="D236" s="305"/>
      <c r="E236" s="304"/>
      <c r="F236" s="304"/>
      <c r="G236" s="398">
        <f>_xlfn.IFNA(VLOOKUP($C236,'Facteurs d''émission'!$D$2:$I$344,2,FALSE),"Non renseigné")</f>
        <v>0</v>
      </c>
      <c r="H236"/>
      <c r="I236" s="125">
        <f t="shared" si="41"/>
        <v>0</v>
      </c>
      <c r="J236" s="125">
        <f t="shared" si="42"/>
        <v>0</v>
      </c>
      <c r="K236" s="125">
        <f t="shared" si="43"/>
        <v>0</v>
      </c>
      <c r="L236" s="5">
        <f t="shared" si="44"/>
        <v>0</v>
      </c>
      <c r="N236" s="298">
        <f>_xlfn.IFNA(VLOOKUP($C236,'Facteurs d''émission'!$D$2:$I$344,4,FALSE),"Non présent dans la base")</f>
        <v>0</v>
      </c>
      <c r="O236" s="289"/>
      <c r="P236" s="5">
        <f t="shared" si="45"/>
        <v>0</v>
      </c>
      <c r="Q236" s="5">
        <f t="shared" si="46"/>
        <v>0</v>
      </c>
      <c r="R236" s="5">
        <f t="shared" si="47"/>
        <v>0</v>
      </c>
      <c r="S236" s="5">
        <f t="shared" si="48"/>
        <v>0</v>
      </c>
      <c r="U236" s="307"/>
      <c r="V236" s="5">
        <f t="shared" si="49"/>
        <v>0</v>
      </c>
      <c r="W236" s="5">
        <f t="shared" si="50"/>
        <v>0</v>
      </c>
      <c r="X236" s="5">
        <f t="shared" si="51"/>
        <v>0</v>
      </c>
      <c r="Y236" s="5">
        <f t="shared" si="52"/>
        <v>0</v>
      </c>
      <c r="AA236" s="672"/>
      <c r="AB236" s="673"/>
      <c r="AC236" s="673"/>
      <c r="AD236" s="673"/>
      <c r="AE236" s="674"/>
    </row>
    <row r="237" spans="3:31" s="14" customFormat="1" ht="12.75" customHeight="1">
      <c r="C237" s="196" t="s">
        <v>357</v>
      </c>
      <c r="D237" s="305"/>
      <c r="E237" s="304"/>
      <c r="F237" s="304"/>
      <c r="G237" s="398">
        <f>_xlfn.IFNA(VLOOKUP($C237,'Facteurs d''émission'!$D$2:$I$344,2,FALSE),"Non renseigné")</f>
        <v>0</v>
      </c>
      <c r="H237"/>
      <c r="I237" s="125">
        <f t="shared" si="41"/>
        <v>0</v>
      </c>
      <c r="J237" s="125">
        <f t="shared" si="42"/>
        <v>0</v>
      </c>
      <c r="K237" s="125">
        <f t="shared" si="43"/>
        <v>0</v>
      </c>
      <c r="L237" s="5">
        <f t="shared" si="44"/>
        <v>0</v>
      </c>
      <c r="N237" s="298">
        <f>_xlfn.IFNA(VLOOKUP($C237,'Facteurs d''émission'!$D$2:$I$344,4,FALSE),"Non présent dans la base")</f>
        <v>0</v>
      </c>
      <c r="O237" s="289"/>
      <c r="P237" s="5">
        <f t="shared" si="45"/>
        <v>0</v>
      </c>
      <c r="Q237" s="5">
        <f t="shared" si="46"/>
        <v>0</v>
      </c>
      <c r="R237" s="5">
        <f t="shared" si="47"/>
        <v>0</v>
      </c>
      <c r="S237" s="5">
        <f t="shared" si="48"/>
        <v>0</v>
      </c>
      <c r="U237" s="307"/>
      <c r="V237" s="5">
        <f t="shared" si="49"/>
        <v>0</v>
      </c>
      <c r="W237" s="5">
        <f t="shared" si="50"/>
        <v>0</v>
      </c>
      <c r="X237" s="5">
        <f t="shared" si="51"/>
        <v>0</v>
      </c>
      <c r="Y237" s="5">
        <f t="shared" si="52"/>
        <v>0</v>
      </c>
      <c r="AA237" s="672"/>
      <c r="AB237" s="673"/>
      <c r="AC237" s="673"/>
      <c r="AD237" s="673"/>
      <c r="AE237" s="674"/>
    </row>
    <row r="238" spans="3:31" s="14" customFormat="1" ht="12.75" customHeight="1">
      <c r="C238" s="196" t="s">
        <v>357</v>
      </c>
      <c r="D238" s="305"/>
      <c r="E238" s="304"/>
      <c r="F238" s="304"/>
      <c r="G238" s="398">
        <f>_xlfn.IFNA(VLOOKUP($C238,'Facteurs d''émission'!$D$2:$I$344,2,FALSE),"Non renseigné")</f>
        <v>0</v>
      </c>
      <c r="H238"/>
      <c r="I238" s="125">
        <f t="shared" si="38"/>
        <v>0</v>
      </c>
      <c r="J238" s="125">
        <f t="shared" si="38"/>
        <v>0</v>
      </c>
      <c r="K238" s="125">
        <f t="shared" si="38"/>
        <v>0</v>
      </c>
      <c r="L238" s="5">
        <f>SUM(I238:K238)</f>
        <v>0</v>
      </c>
      <c r="N238" s="298">
        <f>_xlfn.IFNA(VLOOKUP($C238,'Facteurs d''émission'!$D$2:$I$344,4,FALSE),"Non présent dans la base")</f>
        <v>0</v>
      </c>
      <c r="O238" s="289"/>
      <c r="P238" s="101">
        <f t="shared" si="39"/>
        <v>0</v>
      </c>
      <c r="Q238" s="5">
        <f t="shared" si="39"/>
        <v>0</v>
      </c>
      <c r="R238" s="5">
        <f t="shared" si="39"/>
        <v>0</v>
      </c>
      <c r="S238" s="5">
        <f>SUM(P238:R238)</f>
        <v>0</v>
      </c>
      <c r="T238" s="14" t="str">
        <f>IF(COUNTA(D238:F238)*COUNTA(O238)&gt;0,COUNTA(D238:F238),"")</f>
        <v/>
      </c>
      <c r="U238" s="307"/>
      <c r="V238" s="101">
        <f t="shared" si="40"/>
        <v>0</v>
      </c>
      <c r="W238" s="5">
        <f t="shared" si="40"/>
        <v>0</v>
      </c>
      <c r="X238" s="5">
        <f t="shared" si="40"/>
        <v>0</v>
      </c>
      <c r="Y238" s="5">
        <f>SUM(V238:X238)</f>
        <v>0</v>
      </c>
      <c r="AA238" s="672"/>
      <c r="AB238" s="673"/>
      <c r="AC238" s="673"/>
      <c r="AD238" s="673"/>
      <c r="AE238" s="674"/>
    </row>
    <row r="239" spans="3:31" s="15" customFormat="1" ht="12.75" customHeight="1">
      <c r="C239" s="371" t="s">
        <v>12</v>
      </c>
      <c r="D239" s="126">
        <f>SUM(D229:D238)</f>
        <v>0</v>
      </c>
      <c r="E239" s="126">
        <f t="shared" ref="E239:F239" si="53">SUM(E229:E238)</f>
        <v>0</v>
      </c>
      <c r="F239" s="126">
        <f t="shared" si="53"/>
        <v>0</v>
      </c>
      <c r="G239" s="126"/>
      <c r="H239"/>
      <c r="I239" s="126">
        <f>SUM(I229:I238)</f>
        <v>0</v>
      </c>
      <c r="J239" s="126">
        <f>SUM(J229:J238)</f>
        <v>0</v>
      </c>
      <c r="K239" s="126">
        <f>SUM(K229:K238)</f>
        <v>0</v>
      </c>
      <c r="L239" s="126">
        <f>SUM(L229:L238)</f>
        <v>0</v>
      </c>
      <c r="N239" s="627" t="str">
        <f>IF(COUNTA(D229:F238)&gt;SUM(T229:T238),"! Remplir une incertitude !","")</f>
        <v/>
      </c>
      <c r="O239" s="628"/>
      <c r="P239" s="67">
        <f>SUM(P229:P238)</f>
        <v>0</v>
      </c>
      <c r="Q239" s="67">
        <f>SUM(Q229:Q238)</f>
        <v>0</v>
      </c>
      <c r="R239" s="62">
        <f>SUM(R229:R238)</f>
        <v>0</v>
      </c>
      <c r="S239" s="62">
        <f>SUM(S229:S238)</f>
        <v>0</v>
      </c>
      <c r="U239" s="65"/>
      <c r="V239" s="67">
        <f>SUM(V229:V238)</f>
        <v>0</v>
      </c>
      <c r="W239" s="67">
        <f>SUM(W229:W238)</f>
        <v>0</v>
      </c>
      <c r="X239" s="62">
        <f>SUM(X229:X238)</f>
        <v>0</v>
      </c>
      <c r="Y239" s="62">
        <f>SUM(Y229:Y238)</f>
        <v>0</v>
      </c>
      <c r="AA239" s="678" t="str">
        <f>IF(Y239&gt;0,IF(AA228="","Attention: vous devez planifier une action afin de remplir votre objectif",""),"")</f>
        <v/>
      </c>
      <c r="AB239" s="678"/>
      <c r="AC239" s="678"/>
      <c r="AD239" s="678"/>
      <c r="AE239" s="678"/>
    </row>
    <row r="240" spans="3:31" s="14" customFormat="1" ht="51.95" customHeight="1">
      <c r="C240" s="121"/>
      <c r="D240" s="127"/>
      <c r="E240" s="127"/>
      <c r="F240" s="127"/>
      <c r="G240" s="169"/>
      <c r="H240" s="121"/>
      <c r="I240" s="128"/>
      <c r="J240" s="128"/>
      <c r="K240" s="128"/>
      <c r="L240" s="128"/>
      <c r="N240" s="13"/>
      <c r="P240" s="13"/>
      <c r="Q240" s="13"/>
      <c r="R240" s="13"/>
      <c r="S240" s="13"/>
      <c r="W240" s="13"/>
      <c r="X240" s="13"/>
      <c r="Y240" s="13"/>
      <c r="Z240" s="76"/>
    </row>
    <row r="241" spans="3:31" s="14" customFormat="1" ht="12.75" customHeight="1">
      <c r="C241" s="119"/>
      <c r="D241" s="129"/>
      <c r="E241" s="15" t="s">
        <v>364</v>
      </c>
      <c r="F241" s="129"/>
      <c r="G241" s="168"/>
      <c r="H241" s="129"/>
      <c r="I241" s="129"/>
      <c r="J241" s="129"/>
      <c r="K241" s="168"/>
      <c r="L241" s="129"/>
      <c r="M241" s="129"/>
      <c r="N241" s="168"/>
    </row>
    <row r="242" spans="3:31" s="14" customFormat="1" ht="12.75" customHeight="1">
      <c r="C242" s="119"/>
      <c r="D242" s="129"/>
      <c r="E242" s="129"/>
      <c r="F242" s="129"/>
      <c r="G242" s="168"/>
      <c r="H242" s="129"/>
      <c r="I242" s="129"/>
      <c r="J242" s="129"/>
      <c r="K242" s="168"/>
      <c r="L242" s="129"/>
      <c r="M242" s="129"/>
      <c r="N242" s="168"/>
    </row>
    <row r="243" spans="3:31" s="14" customFormat="1" ht="12.75" customHeight="1">
      <c r="C243" s="360" t="s">
        <v>170</v>
      </c>
      <c r="D243" s="130"/>
      <c r="E243" s="127"/>
      <c r="F243" s="127"/>
      <c r="G243" s="128"/>
      <c r="H243" s="130"/>
      <c r="I243" s="76" t="s">
        <v>358</v>
      </c>
      <c r="K243" s="13"/>
      <c r="M243" s="129"/>
      <c r="N243" s="181" t="s">
        <v>65</v>
      </c>
      <c r="O243" s="50"/>
      <c r="P243" s="50"/>
      <c r="Q243" s="50"/>
      <c r="R243" s="50"/>
      <c r="S243" s="50"/>
      <c r="T243" s="16"/>
      <c r="U243" s="50" t="s">
        <v>393</v>
      </c>
      <c r="V243" s="50"/>
      <c r="W243" s="50"/>
      <c r="X243" s="50"/>
      <c r="Y243" s="50"/>
      <c r="AA243" s="15" t="s">
        <v>115</v>
      </c>
    </row>
    <row r="244" spans="3:31" s="14" customFormat="1" ht="12.75" customHeight="1">
      <c r="C244" s="718" t="s">
        <v>102</v>
      </c>
      <c r="D244" s="700" t="s">
        <v>37</v>
      </c>
      <c r="E244" s="700"/>
      <c r="F244" s="700"/>
      <c r="G244" s="714" t="s">
        <v>356</v>
      </c>
      <c r="H244"/>
      <c r="I244" s="685" t="s">
        <v>265</v>
      </c>
      <c r="J244" s="685"/>
      <c r="K244" s="685"/>
      <c r="L244" s="685"/>
      <c r="M244" s="129"/>
      <c r="N244" s="716" t="s">
        <v>329</v>
      </c>
      <c r="O244" s="617" t="s">
        <v>330</v>
      </c>
      <c r="P244" s="642" t="s">
        <v>265</v>
      </c>
      <c r="Q244" s="643"/>
      <c r="R244" s="643"/>
      <c r="S244" s="644"/>
      <c r="T244" s="11"/>
      <c r="U244" s="617" t="s">
        <v>331</v>
      </c>
      <c r="V244" s="635" t="s">
        <v>271</v>
      </c>
      <c r="W244" s="635"/>
      <c r="X244" s="635"/>
      <c r="Y244" s="635"/>
      <c r="AA244" s="611" t="s">
        <v>167</v>
      </c>
      <c r="AB244" s="611"/>
      <c r="AC244" s="611"/>
      <c r="AD244" s="611"/>
      <c r="AE244" s="611"/>
    </row>
    <row r="245" spans="3:31" s="14" customFormat="1" ht="12.75" customHeight="1">
      <c r="C245" s="719"/>
      <c r="D245" s="397" t="s">
        <v>35</v>
      </c>
      <c r="E245" s="364" t="s">
        <v>36</v>
      </c>
      <c r="F245" s="397" t="s">
        <v>28</v>
      </c>
      <c r="G245" s="715"/>
      <c r="H245"/>
      <c r="I245" s="364" t="s">
        <v>38</v>
      </c>
      <c r="J245" s="364" t="s">
        <v>39</v>
      </c>
      <c r="K245" s="363" t="s">
        <v>28</v>
      </c>
      <c r="L245" s="365" t="s">
        <v>26</v>
      </c>
      <c r="M245" s="129"/>
      <c r="N245" s="717"/>
      <c r="O245" s="619"/>
      <c r="P245" s="364" t="s">
        <v>38</v>
      </c>
      <c r="Q245" s="364" t="s">
        <v>39</v>
      </c>
      <c r="R245" s="364" t="s">
        <v>28</v>
      </c>
      <c r="S245" s="365" t="s">
        <v>26</v>
      </c>
      <c r="T245" s="99"/>
      <c r="U245" s="619"/>
      <c r="V245" s="364" t="s">
        <v>38</v>
      </c>
      <c r="W245" s="364" t="s">
        <v>39</v>
      </c>
      <c r="X245" s="364" t="s">
        <v>28</v>
      </c>
      <c r="Y245" s="365" t="s">
        <v>26</v>
      </c>
      <c r="AA245" s="669" t="s">
        <v>318</v>
      </c>
      <c r="AB245" s="670"/>
      <c r="AC245" s="670"/>
      <c r="AD245" s="670"/>
      <c r="AE245" s="671"/>
    </row>
    <row r="246" spans="3:31" s="14" customFormat="1" ht="12.75" customHeight="1">
      <c r="C246" s="196" t="s">
        <v>249</v>
      </c>
      <c r="D246" s="305"/>
      <c r="E246" s="304"/>
      <c r="F246" s="304"/>
      <c r="G246" s="348">
        <f>_xlfn.IFNA(VLOOKUP($C246,'Facteurs d''émission'!$D$2:$I$344,2,FALSE),"Non renseigné")</f>
        <v>0.20399999999999999</v>
      </c>
      <c r="H246"/>
      <c r="I246" s="125">
        <f>IFERROR(D246*$G246,0)</f>
        <v>0</v>
      </c>
      <c r="J246" s="125">
        <f>IFERROR(E246*$G246,0)</f>
        <v>0</v>
      </c>
      <c r="K246" s="125">
        <f>IFERROR(F246*$G246,0)</f>
        <v>0</v>
      </c>
      <c r="L246" s="5">
        <f>SUM(I246:K246)</f>
        <v>0</v>
      </c>
      <c r="M246" s="129"/>
      <c r="N246" s="298">
        <f>_xlfn.IFNA(VLOOKUP($C246,'Facteurs d''émission'!$D$2:$I$344,4,FALSE),"Non présent dans la base")</f>
        <v>0.6</v>
      </c>
      <c r="O246" s="291"/>
      <c r="P246" s="5">
        <f t="shared" ref="P246:R250" si="54">I246*(1-(1-$N246)*(1-$O246))</f>
        <v>0</v>
      </c>
      <c r="Q246" s="5">
        <f t="shared" si="54"/>
        <v>0</v>
      </c>
      <c r="R246" s="5">
        <f t="shared" si="54"/>
        <v>0</v>
      </c>
      <c r="S246" s="5">
        <f>SUM(P246:R246)</f>
        <v>0</v>
      </c>
      <c r="T246" s="14" t="str">
        <f>IF(COUNTA(D246:F246)*COUNTA(O246)&gt;0,COUNTA(D246:F246),"")</f>
        <v/>
      </c>
      <c r="U246" s="292"/>
      <c r="V246" s="5">
        <f t="shared" ref="V246:X250" si="55">$U246*I246</f>
        <v>0</v>
      </c>
      <c r="W246" s="5">
        <f t="shared" si="55"/>
        <v>0</v>
      </c>
      <c r="X246" s="5">
        <f t="shared" si="55"/>
        <v>0</v>
      </c>
      <c r="Y246" s="5">
        <f>SUM(V246:X246)</f>
        <v>0</v>
      </c>
      <c r="AA246" s="672"/>
      <c r="AB246" s="673"/>
      <c r="AC246" s="673"/>
      <c r="AD246" s="673"/>
      <c r="AE246" s="674"/>
    </row>
    <row r="247" spans="3:31" s="14" customFormat="1" ht="12.75" customHeight="1">
      <c r="C247" s="196" t="s">
        <v>250</v>
      </c>
      <c r="D247" s="305"/>
      <c r="E247" s="304"/>
      <c r="F247" s="304"/>
      <c r="G247" s="348">
        <f>_xlfn.IFNA(VLOOKUP($C247,'Facteurs d''émission'!$D$2:$I$344,2,FALSE),"Non renseigné")</f>
        <v>0.23799999999999999</v>
      </c>
      <c r="H247"/>
      <c r="I247" s="125">
        <f t="shared" ref="I247:I250" si="56">IFERROR(D247*$G247,0)</f>
        <v>0</v>
      </c>
      <c r="J247" s="125">
        <f t="shared" ref="J247:J250" si="57">IFERROR(E247*$G247,0)</f>
        <v>0</v>
      </c>
      <c r="K247" s="125">
        <f t="shared" ref="K247:K250" si="58">IFERROR(F247*$G247,0)</f>
        <v>0</v>
      </c>
      <c r="L247" s="5">
        <f>SUM(I247:K247)</f>
        <v>0</v>
      </c>
      <c r="M247" s="129"/>
      <c r="N247" s="298">
        <f>_xlfn.IFNA(VLOOKUP($C247,'Facteurs d''émission'!$D$2:$I$344,4,FALSE),"Non présent dans la base")</f>
        <v>0.6</v>
      </c>
      <c r="O247" s="291"/>
      <c r="P247" s="5">
        <f t="shared" si="54"/>
        <v>0</v>
      </c>
      <c r="Q247" s="5">
        <f t="shared" si="54"/>
        <v>0</v>
      </c>
      <c r="R247" s="5">
        <f t="shared" si="54"/>
        <v>0</v>
      </c>
      <c r="S247" s="5">
        <f>SUM(P247:R247)</f>
        <v>0</v>
      </c>
      <c r="T247" s="14" t="str">
        <f>IF(COUNTA(D247:F247)*COUNTA(O247)&gt;0,COUNTA(D247:F247),"")</f>
        <v/>
      </c>
      <c r="U247" s="292"/>
      <c r="V247" s="5">
        <f t="shared" si="55"/>
        <v>0</v>
      </c>
      <c r="W247" s="5">
        <f t="shared" si="55"/>
        <v>0</v>
      </c>
      <c r="X247" s="5">
        <f t="shared" si="55"/>
        <v>0</v>
      </c>
      <c r="Y247" s="5">
        <f>SUM(V247:X247)</f>
        <v>0</v>
      </c>
      <c r="AA247" s="672"/>
      <c r="AB247" s="673"/>
      <c r="AC247" s="673"/>
      <c r="AD247" s="673"/>
      <c r="AE247" s="674"/>
    </row>
    <row r="248" spans="3:31" s="14" customFormat="1" ht="12.75" customHeight="1">
      <c r="C248" s="196" t="s">
        <v>357</v>
      </c>
      <c r="D248" s="305"/>
      <c r="E248" s="304"/>
      <c r="F248" s="304"/>
      <c r="G248" s="348">
        <f>_xlfn.IFNA(VLOOKUP($C248,'Facteurs d''émission'!$D$2:$I$344,2,FALSE),"Non renseigné")</f>
        <v>0</v>
      </c>
      <c r="H248"/>
      <c r="I248" s="125">
        <f t="shared" ref="I248:I249" si="59">IFERROR(D248*$G248,0)</f>
        <v>0</v>
      </c>
      <c r="J248" s="125">
        <f t="shared" ref="J248:J249" si="60">IFERROR(E248*$G248,0)</f>
        <v>0</v>
      </c>
      <c r="K248" s="125">
        <f t="shared" ref="K248:K249" si="61">IFERROR(F248*$G248,0)</f>
        <v>0</v>
      </c>
      <c r="L248" s="5">
        <f t="shared" ref="L248:L249" si="62">SUM(I248:K248)</f>
        <v>0</v>
      </c>
      <c r="M248" s="129"/>
      <c r="N248" s="298">
        <f>_xlfn.IFNA(VLOOKUP($C248,'Facteurs d''émission'!$D$2:$I$344,4,FALSE),"Non présent dans la base")</f>
        <v>0</v>
      </c>
      <c r="O248" s="291"/>
      <c r="P248" s="5">
        <f t="shared" ref="P248:P249" si="63">I248*(1-(1-$N248)*(1-$O248))</f>
        <v>0</v>
      </c>
      <c r="Q248" s="5">
        <f t="shared" ref="Q248:Q249" si="64">J248*(1-(1-$N248)*(1-$O248))</f>
        <v>0</v>
      </c>
      <c r="R248" s="5">
        <f t="shared" ref="R248:R249" si="65">K248*(1-(1-$N248)*(1-$O248))</f>
        <v>0</v>
      </c>
      <c r="S248" s="5">
        <f t="shared" ref="S248:S249" si="66">SUM(P248:R248)</f>
        <v>0</v>
      </c>
      <c r="U248" s="292"/>
      <c r="V248" s="5">
        <f t="shared" ref="V248:V249" si="67">$U248*I248</f>
        <v>0</v>
      </c>
      <c r="W248" s="5">
        <f t="shared" ref="W248:W249" si="68">$U248*J248</f>
        <v>0</v>
      </c>
      <c r="X248" s="5">
        <f t="shared" ref="X248:X249" si="69">$U248*K248</f>
        <v>0</v>
      </c>
      <c r="Y248" s="5">
        <f t="shared" ref="Y248:Y249" si="70">SUM(V248:X248)</f>
        <v>0</v>
      </c>
      <c r="AA248" s="672"/>
      <c r="AB248" s="673"/>
      <c r="AC248" s="673"/>
      <c r="AD248" s="673"/>
      <c r="AE248" s="674"/>
    </row>
    <row r="249" spans="3:31" s="14" customFormat="1" ht="12.75" customHeight="1">
      <c r="C249" s="196" t="s">
        <v>357</v>
      </c>
      <c r="D249" s="305"/>
      <c r="E249" s="304"/>
      <c r="F249" s="304"/>
      <c r="G249" s="348">
        <f>_xlfn.IFNA(VLOOKUP($C249,'Facteurs d''émission'!$D$2:$I$344,2,FALSE),"Non renseigné")</f>
        <v>0</v>
      </c>
      <c r="H249"/>
      <c r="I249" s="125">
        <f t="shared" si="59"/>
        <v>0</v>
      </c>
      <c r="J249" s="125">
        <f t="shared" si="60"/>
        <v>0</v>
      </c>
      <c r="K249" s="125">
        <f t="shared" si="61"/>
        <v>0</v>
      </c>
      <c r="L249" s="5">
        <f t="shared" si="62"/>
        <v>0</v>
      </c>
      <c r="M249" s="129"/>
      <c r="N249" s="298">
        <f>_xlfn.IFNA(VLOOKUP($C249,'Facteurs d''émission'!$D$2:$I$344,4,FALSE),"Non présent dans la base")</f>
        <v>0</v>
      </c>
      <c r="O249" s="291"/>
      <c r="P249" s="5">
        <f t="shared" si="63"/>
        <v>0</v>
      </c>
      <c r="Q249" s="5">
        <f t="shared" si="64"/>
        <v>0</v>
      </c>
      <c r="R249" s="5">
        <f t="shared" si="65"/>
        <v>0</v>
      </c>
      <c r="S249" s="5">
        <f t="shared" si="66"/>
        <v>0</v>
      </c>
      <c r="U249" s="292"/>
      <c r="V249" s="5">
        <f t="shared" si="67"/>
        <v>0</v>
      </c>
      <c r="W249" s="5">
        <f t="shared" si="68"/>
        <v>0</v>
      </c>
      <c r="X249" s="5">
        <f t="shared" si="69"/>
        <v>0</v>
      </c>
      <c r="Y249" s="5">
        <f t="shared" si="70"/>
        <v>0</v>
      </c>
      <c r="AA249" s="672"/>
      <c r="AB249" s="673"/>
      <c r="AC249" s="673"/>
      <c r="AD249" s="673"/>
      <c r="AE249" s="674"/>
    </row>
    <row r="250" spans="3:31" s="14" customFormat="1" ht="12.75" customHeight="1">
      <c r="C250" s="196" t="s">
        <v>357</v>
      </c>
      <c r="D250" s="305"/>
      <c r="E250" s="304"/>
      <c r="F250" s="304"/>
      <c r="G250" s="348">
        <f>_xlfn.IFNA(VLOOKUP($C250,'Facteurs d''émission'!$D$2:$I$344,2,FALSE),"Non renseigné")</f>
        <v>0</v>
      </c>
      <c r="H250"/>
      <c r="I250" s="125">
        <f t="shared" si="56"/>
        <v>0</v>
      </c>
      <c r="J250" s="125">
        <f t="shared" si="57"/>
        <v>0</v>
      </c>
      <c r="K250" s="125">
        <f t="shared" si="58"/>
        <v>0</v>
      </c>
      <c r="L250" s="5">
        <f>SUM(I250:K250)</f>
        <v>0</v>
      </c>
      <c r="M250" s="129"/>
      <c r="N250" s="298">
        <f>_xlfn.IFNA(VLOOKUP($C250,'Facteurs d''émission'!$D$2:$I$344,4,FALSE),"Non présent dans la base")</f>
        <v>0</v>
      </c>
      <c r="O250" s="289"/>
      <c r="P250" s="101">
        <f t="shared" si="54"/>
        <v>0</v>
      </c>
      <c r="Q250" s="5">
        <f t="shared" si="54"/>
        <v>0</v>
      </c>
      <c r="R250" s="5">
        <f t="shared" si="54"/>
        <v>0</v>
      </c>
      <c r="S250" s="5">
        <f>SUM(P250:R250)</f>
        <v>0</v>
      </c>
      <c r="T250" s="14" t="str">
        <f>IF(COUNTA(D250:F250)*COUNTA(O250)&gt;0,COUNTA(D250:F250),"")</f>
        <v/>
      </c>
      <c r="U250" s="293"/>
      <c r="V250" s="101">
        <f t="shared" si="55"/>
        <v>0</v>
      </c>
      <c r="W250" s="5">
        <f t="shared" si="55"/>
        <v>0</v>
      </c>
      <c r="X250" s="5">
        <f t="shared" si="55"/>
        <v>0</v>
      </c>
      <c r="Y250" s="5">
        <f>SUM(V250:X250)</f>
        <v>0</v>
      </c>
      <c r="AA250" s="672"/>
      <c r="AB250" s="673"/>
      <c r="AC250" s="673"/>
      <c r="AD250" s="673"/>
      <c r="AE250" s="674"/>
    </row>
    <row r="251" spans="3:31" s="15" customFormat="1" ht="12.75" customHeight="1">
      <c r="C251" s="392" t="s">
        <v>12</v>
      </c>
      <c r="D251" s="390"/>
      <c r="E251" s="390"/>
      <c r="F251" s="390"/>
      <c r="G251" s="126"/>
      <c r="H251"/>
      <c r="I251" s="126">
        <f>SUM(I246:I250)</f>
        <v>0</v>
      </c>
      <c r="J251" s="126">
        <f>SUM(J246:J250)</f>
        <v>0</v>
      </c>
      <c r="K251" s="126">
        <f>SUM(K246:K250)</f>
        <v>0</v>
      </c>
      <c r="L251" s="126">
        <f>SUM(L246:L250)</f>
        <v>0</v>
      </c>
      <c r="M251" s="132"/>
      <c r="N251" s="627" t="str">
        <f>IF(COUNTA(D246:F250)&gt;SUM(T246:T250),"! Remplir une incertitude !","")</f>
        <v/>
      </c>
      <c r="O251" s="628"/>
      <c r="P251" s="67">
        <f>SUM(P246:P250)</f>
        <v>0</v>
      </c>
      <c r="Q251" s="67">
        <f>SUM(Q246:Q250)</f>
        <v>0</v>
      </c>
      <c r="R251" s="62">
        <f>SUM(R246:R250)</f>
        <v>0</v>
      </c>
      <c r="S251" s="62">
        <f>SUM(S246:S250)</f>
        <v>0</v>
      </c>
      <c r="U251" s="65"/>
      <c r="V251" s="67">
        <f>SUM(V246:V250)</f>
        <v>0</v>
      </c>
      <c r="W251" s="67">
        <f>SUM(W246:W250)</f>
        <v>0</v>
      </c>
      <c r="X251" s="62">
        <f>SUM(X246:X250)</f>
        <v>0</v>
      </c>
      <c r="Y251" s="62">
        <f>SUM(Y246:Y250)</f>
        <v>0</v>
      </c>
      <c r="AA251" s="678" t="str">
        <f>IF(Y251&gt;0,IF(AA245="","Attention: vous devez planifier une action afin de remplir votre objectif",""),"")</f>
        <v/>
      </c>
      <c r="AB251" s="678"/>
      <c r="AC251" s="678"/>
      <c r="AD251" s="678"/>
      <c r="AE251" s="678"/>
    </row>
    <row r="252" spans="3:31" s="14" customFormat="1" ht="12.75" customHeight="1">
      <c r="C252" s="132"/>
      <c r="D252" s="127"/>
      <c r="E252" s="127"/>
      <c r="F252" s="127"/>
      <c r="G252" s="169"/>
      <c r="H252"/>
      <c r="I252" s="128"/>
      <c r="J252" s="128"/>
      <c r="K252" s="128"/>
      <c r="L252" s="128"/>
      <c r="M252" s="129"/>
      <c r="N252" s="13"/>
      <c r="S252" s="15"/>
      <c r="W252" s="13"/>
      <c r="X252" s="13"/>
      <c r="Y252" s="13"/>
      <c r="Z252" s="76"/>
    </row>
    <row r="253" spans="3:31" s="14" customFormat="1" ht="12.75" customHeight="1">
      <c r="C253" s="119"/>
      <c r="D253" s="119"/>
      <c r="E253" s="119"/>
      <c r="F253" s="129"/>
      <c r="G253" s="168"/>
      <c r="H253"/>
      <c r="K253" s="13"/>
      <c r="L253" s="119"/>
      <c r="N253" s="13"/>
    </row>
    <row r="254" spans="3:31" s="14" customFormat="1" ht="12.75" customHeight="1">
      <c r="C254" s="119"/>
      <c r="D254" s="119"/>
      <c r="E254" s="15" t="s">
        <v>365</v>
      </c>
      <c r="F254" s="129"/>
      <c r="G254" s="168"/>
      <c r="H254"/>
      <c r="K254" s="13"/>
      <c r="L254" s="119"/>
      <c r="N254" s="13"/>
    </row>
    <row r="255" spans="3:31" s="14" customFormat="1" ht="12.75" customHeight="1">
      <c r="C255" s="119"/>
      <c r="D255" s="119"/>
      <c r="E255" s="119"/>
      <c r="F255" s="129"/>
      <c r="G255" s="168"/>
      <c r="H255"/>
      <c r="K255" s="13"/>
      <c r="L255" s="119"/>
      <c r="N255" s="13"/>
    </row>
    <row r="256" spans="3:31" s="14" customFormat="1" ht="12.75" customHeight="1">
      <c r="C256" s="360" t="s">
        <v>144</v>
      </c>
      <c r="G256" s="13"/>
      <c r="H256"/>
      <c r="I256" s="76" t="s">
        <v>358</v>
      </c>
      <c r="K256" s="13"/>
      <c r="M256" s="119"/>
      <c r="N256" s="181" t="s">
        <v>65</v>
      </c>
      <c r="O256" s="50"/>
      <c r="P256" s="50"/>
      <c r="Q256" s="50"/>
      <c r="R256" s="50"/>
      <c r="S256" s="50"/>
      <c r="T256" s="16"/>
      <c r="U256" s="50" t="s">
        <v>393</v>
      </c>
      <c r="V256" s="50"/>
      <c r="W256" s="50"/>
      <c r="X256" s="50"/>
      <c r="Y256" s="50"/>
      <c r="AA256" s="15" t="s">
        <v>115</v>
      </c>
    </row>
    <row r="257" spans="3:31" s="14" customFormat="1" ht="12.75" customHeight="1">
      <c r="C257" s="397" t="s">
        <v>103</v>
      </c>
      <c r="D257" s="700" t="s">
        <v>169</v>
      </c>
      <c r="E257" s="700"/>
      <c r="F257" s="700"/>
      <c r="G257" s="720" t="s">
        <v>391</v>
      </c>
      <c r="H257"/>
      <c r="I257" s="685" t="s">
        <v>265</v>
      </c>
      <c r="J257" s="685"/>
      <c r="K257" s="685"/>
      <c r="L257" s="685"/>
      <c r="M257" s="119"/>
      <c r="N257" s="716" t="s">
        <v>329</v>
      </c>
      <c r="O257" s="620" t="s">
        <v>394</v>
      </c>
      <c r="P257" s="642" t="s">
        <v>265</v>
      </c>
      <c r="Q257" s="643"/>
      <c r="R257" s="643"/>
      <c r="S257" s="644"/>
      <c r="T257" s="11"/>
      <c r="U257" s="620" t="s">
        <v>331</v>
      </c>
      <c r="V257" s="635" t="s">
        <v>271</v>
      </c>
      <c r="W257" s="635"/>
      <c r="X257" s="635"/>
      <c r="Y257" s="635"/>
      <c r="AA257" s="611" t="s">
        <v>167</v>
      </c>
      <c r="AB257" s="611"/>
      <c r="AC257" s="611"/>
      <c r="AD257" s="611"/>
      <c r="AE257" s="611"/>
    </row>
    <row r="258" spans="3:31" s="14" customFormat="1" ht="12.75" customHeight="1">
      <c r="C258" s="297"/>
      <c r="D258" s="397" t="s">
        <v>35</v>
      </c>
      <c r="E258" s="364" t="s">
        <v>36</v>
      </c>
      <c r="F258" s="397" t="s">
        <v>28</v>
      </c>
      <c r="G258" s="721"/>
      <c r="H258"/>
      <c r="I258" s="364" t="s">
        <v>38</v>
      </c>
      <c r="J258" s="364" t="s">
        <v>39</v>
      </c>
      <c r="K258" s="363" t="s">
        <v>28</v>
      </c>
      <c r="L258" s="365" t="s">
        <v>26</v>
      </c>
      <c r="M258" s="119"/>
      <c r="N258" s="717"/>
      <c r="O258" s="622"/>
      <c r="P258" s="364" t="s">
        <v>38</v>
      </c>
      <c r="Q258" s="364" t="s">
        <v>39</v>
      </c>
      <c r="R258" s="364" t="s">
        <v>28</v>
      </c>
      <c r="S258" s="365" t="s">
        <v>26</v>
      </c>
      <c r="T258" s="99"/>
      <c r="U258" s="622"/>
      <c r="V258" s="364" t="s">
        <v>38</v>
      </c>
      <c r="W258" s="364" t="s">
        <v>39</v>
      </c>
      <c r="X258" s="364" t="s">
        <v>28</v>
      </c>
      <c r="Y258" s="365" t="s">
        <v>26</v>
      </c>
      <c r="AA258" s="669" t="s">
        <v>318</v>
      </c>
      <c r="AB258" s="670"/>
      <c r="AC258" s="670"/>
      <c r="AD258" s="670"/>
      <c r="AE258" s="671"/>
    </row>
    <row r="259" spans="3:31" s="14" customFormat="1" ht="12.75" customHeight="1">
      <c r="C259" s="133" t="s">
        <v>9</v>
      </c>
      <c r="D259" s="304"/>
      <c r="E259" s="304"/>
      <c r="F259" s="304"/>
      <c r="G259" s="399">
        <f>_xlfn.IFNA(VLOOKUP($C259,'Facteurs d''émission'!$D$2:$I$344,2,FALSE),"Non renseigné")</f>
        <v>3.6900000000000001E-3</v>
      </c>
      <c r="H259"/>
      <c r="I259" s="125">
        <f t="shared" ref="I259:I271" si="71">D259*$G259</f>
        <v>0</v>
      </c>
      <c r="J259" s="125">
        <f t="shared" ref="J259:J271" si="72">E259*$G259</f>
        <v>0</v>
      </c>
      <c r="K259" s="125">
        <f t="shared" ref="K259:K271" si="73">F259*$G259</f>
        <v>0</v>
      </c>
      <c r="L259" s="5">
        <f t="shared" ref="L259:L271" si="74">SUM(I259:K259)</f>
        <v>0</v>
      </c>
      <c r="M259" s="119"/>
      <c r="N259" s="400">
        <f>_xlfn.IFNA(VLOOKUP($C259,'Facteurs d''émission'!$D$2:$I$344,4,FALSE),"Non présent dans la base")</f>
        <v>0.6</v>
      </c>
      <c r="O259" s="291"/>
      <c r="P259" s="5">
        <f t="shared" ref="P259:P271" si="75">I259*(1-(1-$N259)*(1-$O259))</f>
        <v>0</v>
      </c>
      <c r="Q259" s="5">
        <f t="shared" ref="Q259:Q271" si="76">J259*(1-(1-$N259)*(1-$O259))</f>
        <v>0</v>
      </c>
      <c r="R259" s="5">
        <f t="shared" ref="R259:R271" si="77">K259*(1-(1-$N259)*(1-$O259))</f>
        <v>0</v>
      </c>
      <c r="S259" s="5">
        <f t="shared" ref="S259:S271" si="78">SUM(P259:R259)</f>
        <v>0</v>
      </c>
      <c r="T259" s="14" t="str">
        <f>IF(COUNTA(D259:F259)*COUNTA(O259)&gt;0,COUNTA(D259:F259),"")</f>
        <v/>
      </c>
      <c r="U259" s="292"/>
      <c r="V259" s="5">
        <f t="shared" ref="V259:V271" si="79">$U259*I259</f>
        <v>0</v>
      </c>
      <c r="W259" s="5">
        <f t="shared" ref="W259:W271" si="80">$U259*J259</f>
        <v>0</v>
      </c>
      <c r="X259" s="5">
        <f t="shared" ref="X259:X271" si="81">$U259*K259</f>
        <v>0</v>
      </c>
      <c r="Y259" s="5">
        <f t="shared" ref="Y259:Y271" si="82">SUM(V259:X259)</f>
        <v>0</v>
      </c>
      <c r="AA259" s="672"/>
      <c r="AB259" s="673"/>
      <c r="AC259" s="673"/>
      <c r="AD259" s="673"/>
      <c r="AE259" s="674"/>
    </row>
    <row r="260" spans="3:31" s="14" customFormat="1" ht="12.75" customHeight="1">
      <c r="C260" s="133" t="s">
        <v>29</v>
      </c>
      <c r="D260" s="304"/>
      <c r="E260" s="304"/>
      <c r="F260" s="304"/>
      <c r="G260" s="399">
        <f>_xlfn.IFNA(VLOOKUP($C260,'Facteurs d''émission'!$D$2:$I$344,2,FALSE),"Non renseigné")</f>
        <v>5.5999999999999999E-3</v>
      </c>
      <c r="H260"/>
      <c r="I260" s="125">
        <f t="shared" si="71"/>
        <v>0</v>
      </c>
      <c r="J260" s="125">
        <f t="shared" si="72"/>
        <v>0</v>
      </c>
      <c r="K260" s="125">
        <f t="shared" si="73"/>
        <v>0</v>
      </c>
      <c r="L260" s="5">
        <f t="shared" si="74"/>
        <v>0</v>
      </c>
      <c r="M260" s="119"/>
      <c r="N260" s="400">
        <f>_xlfn.IFNA(VLOOKUP($C260,'Facteurs d''émission'!$D$2:$I$344,4,FALSE),"Non présent dans la base")</f>
        <v>0.6</v>
      </c>
      <c r="O260" s="291"/>
      <c r="P260" s="5">
        <f t="shared" si="75"/>
        <v>0</v>
      </c>
      <c r="Q260" s="5">
        <f t="shared" si="76"/>
        <v>0</v>
      </c>
      <c r="R260" s="5">
        <f t="shared" si="77"/>
        <v>0</v>
      </c>
      <c r="S260" s="5">
        <f t="shared" si="78"/>
        <v>0</v>
      </c>
      <c r="T260" s="14" t="str">
        <f t="shared" ref="T260:T271" si="83">IF(COUNTA(D260:F260)*COUNTA(O260)&gt;0,COUNTA(D260:F260),"")</f>
        <v/>
      </c>
      <c r="U260" s="292">
        <v>0.5</v>
      </c>
      <c r="V260" s="5">
        <f t="shared" si="79"/>
        <v>0</v>
      </c>
      <c r="W260" s="5">
        <f t="shared" si="80"/>
        <v>0</v>
      </c>
      <c r="X260" s="5">
        <f t="shared" si="81"/>
        <v>0</v>
      </c>
      <c r="Y260" s="5">
        <f t="shared" si="82"/>
        <v>0</v>
      </c>
      <c r="AA260" s="672"/>
      <c r="AB260" s="673"/>
      <c r="AC260" s="673"/>
      <c r="AD260" s="673"/>
      <c r="AE260" s="674"/>
    </row>
    <row r="261" spans="3:31" s="14" customFormat="1" ht="12.75" customHeight="1">
      <c r="C261" s="133" t="s">
        <v>30</v>
      </c>
      <c r="D261" s="304"/>
      <c r="E261" s="304"/>
      <c r="F261" s="304"/>
      <c r="G261" s="399">
        <f>_xlfn.IFNA(VLOOKUP($C261,'Facteurs d''émission'!$D$2:$I$344,2,FALSE),"Non renseigné")</f>
        <v>8.9099999999999995E-3</v>
      </c>
      <c r="H261"/>
      <c r="I261" s="125">
        <f t="shared" si="71"/>
        <v>0</v>
      </c>
      <c r="J261" s="125">
        <f t="shared" si="72"/>
        <v>0</v>
      </c>
      <c r="K261" s="125">
        <f t="shared" si="73"/>
        <v>0</v>
      </c>
      <c r="L261" s="5">
        <f t="shared" si="74"/>
        <v>0</v>
      </c>
      <c r="M261" s="119"/>
      <c r="N261" s="400">
        <f>_xlfn.IFNA(VLOOKUP($C261,'Facteurs d''émission'!$D$2:$I$344,4,FALSE),"Non présent dans la base")</f>
        <v>0.6</v>
      </c>
      <c r="O261" s="291"/>
      <c r="P261" s="5">
        <f t="shared" si="75"/>
        <v>0</v>
      </c>
      <c r="Q261" s="5">
        <f t="shared" si="76"/>
        <v>0</v>
      </c>
      <c r="R261" s="5">
        <f t="shared" si="77"/>
        <v>0</v>
      </c>
      <c r="S261" s="5">
        <f t="shared" si="78"/>
        <v>0</v>
      </c>
      <c r="T261" s="14" t="str">
        <f t="shared" si="83"/>
        <v/>
      </c>
      <c r="U261" s="292"/>
      <c r="V261" s="5">
        <f t="shared" si="79"/>
        <v>0</v>
      </c>
      <c r="W261" s="5">
        <f t="shared" si="80"/>
        <v>0</v>
      </c>
      <c r="X261" s="5">
        <f t="shared" si="81"/>
        <v>0</v>
      </c>
      <c r="Y261" s="5">
        <f t="shared" si="82"/>
        <v>0</v>
      </c>
      <c r="AA261" s="672"/>
      <c r="AB261" s="673"/>
      <c r="AC261" s="673"/>
      <c r="AD261" s="673"/>
      <c r="AE261" s="674"/>
    </row>
    <row r="262" spans="3:31" s="14" customFormat="1" ht="12.75" customHeight="1">
      <c r="C262" s="133" t="s">
        <v>48</v>
      </c>
      <c r="D262" s="304"/>
      <c r="E262" s="304"/>
      <c r="F262" s="304"/>
      <c r="G262" s="399">
        <f>_xlfn.IFNA(VLOOKUP($C262,'Facteurs d''émission'!$D$2:$I$344,2,FALSE),"Non renseigné")</f>
        <v>6.6799999999999998E-2</v>
      </c>
      <c r="H262"/>
      <c r="I262" s="125">
        <f t="shared" si="71"/>
        <v>0</v>
      </c>
      <c r="J262" s="125">
        <f t="shared" si="72"/>
        <v>0</v>
      </c>
      <c r="K262" s="125">
        <f t="shared" si="73"/>
        <v>0</v>
      </c>
      <c r="L262" s="5">
        <f t="shared" si="74"/>
        <v>0</v>
      </c>
      <c r="M262" s="119"/>
      <c r="N262" s="400">
        <f>_xlfn.IFNA(VLOOKUP($C262,'Facteurs d''émission'!$D$2:$I$344,4,FALSE),"Non présent dans la base")</f>
        <v>0.2</v>
      </c>
      <c r="O262" s="291"/>
      <c r="P262" s="5">
        <f t="shared" si="75"/>
        <v>0</v>
      </c>
      <c r="Q262" s="5">
        <f t="shared" si="76"/>
        <v>0</v>
      </c>
      <c r="R262" s="5">
        <f t="shared" si="77"/>
        <v>0</v>
      </c>
      <c r="S262" s="5">
        <f t="shared" si="78"/>
        <v>0</v>
      </c>
      <c r="T262" s="14" t="str">
        <f t="shared" si="83"/>
        <v/>
      </c>
      <c r="U262" s="292"/>
      <c r="V262" s="5">
        <f t="shared" si="79"/>
        <v>0</v>
      </c>
      <c r="W262" s="5">
        <f t="shared" si="80"/>
        <v>0</v>
      </c>
      <c r="X262" s="5">
        <f t="shared" si="81"/>
        <v>0</v>
      </c>
      <c r="Y262" s="5">
        <f t="shared" si="82"/>
        <v>0</v>
      </c>
      <c r="AA262" s="672"/>
      <c r="AB262" s="673"/>
      <c r="AC262" s="673"/>
      <c r="AD262" s="673"/>
      <c r="AE262" s="674"/>
    </row>
    <row r="263" spans="3:31" s="14" customFormat="1" ht="12.75" customHeight="1">
      <c r="C263" s="133" t="s">
        <v>49</v>
      </c>
      <c r="D263" s="304"/>
      <c r="E263" s="304"/>
      <c r="F263" s="304"/>
      <c r="G263" s="399">
        <f>_xlfn.IFNA(VLOOKUP($C263,'Facteurs d''émission'!$D$2:$I$344,2,FALSE),"Non renseigné")</f>
        <v>4.8399999999999999E-2</v>
      </c>
      <c r="H263"/>
      <c r="I263" s="125">
        <f t="shared" si="71"/>
        <v>0</v>
      </c>
      <c r="J263" s="125">
        <f t="shared" si="72"/>
        <v>0</v>
      </c>
      <c r="K263" s="125">
        <f t="shared" si="73"/>
        <v>0</v>
      </c>
      <c r="L263" s="5">
        <f t="shared" si="74"/>
        <v>0</v>
      </c>
      <c r="M263" s="119"/>
      <c r="N263" s="400">
        <f>_xlfn.IFNA(VLOOKUP($C263,'Facteurs d''émission'!$D$2:$I$344,4,FALSE),"Non présent dans la base")</f>
        <v>0.2</v>
      </c>
      <c r="O263" s="291"/>
      <c r="P263" s="5">
        <f t="shared" si="75"/>
        <v>0</v>
      </c>
      <c r="Q263" s="5">
        <f t="shared" si="76"/>
        <v>0</v>
      </c>
      <c r="R263" s="5">
        <f t="shared" si="77"/>
        <v>0</v>
      </c>
      <c r="S263" s="5">
        <f t="shared" si="78"/>
        <v>0</v>
      </c>
      <c r="T263" s="14" t="str">
        <f t="shared" si="83"/>
        <v/>
      </c>
      <c r="U263" s="292"/>
      <c r="V263" s="5">
        <f t="shared" si="79"/>
        <v>0</v>
      </c>
      <c r="W263" s="5">
        <f t="shared" si="80"/>
        <v>0</v>
      </c>
      <c r="X263" s="5">
        <f t="shared" si="81"/>
        <v>0</v>
      </c>
      <c r="Y263" s="5">
        <f t="shared" si="82"/>
        <v>0</v>
      </c>
      <c r="AA263" s="672"/>
      <c r="AB263" s="673"/>
      <c r="AC263" s="673"/>
      <c r="AD263" s="673"/>
      <c r="AE263" s="674"/>
    </row>
    <row r="264" spans="3:31" s="14" customFormat="1" ht="12.75" customHeight="1">
      <c r="C264" s="133" t="s">
        <v>17</v>
      </c>
      <c r="D264" s="304"/>
      <c r="E264" s="304"/>
      <c r="F264" s="304"/>
      <c r="G264" s="399">
        <f>_xlfn.IFNA(VLOOKUP($C264,'Facteurs d''émission'!$D$2:$I$344,2,FALSE),"Non renseigné")</f>
        <v>5.1400000000000001E-2</v>
      </c>
      <c r="H264"/>
      <c r="I264" s="125">
        <f t="shared" si="71"/>
        <v>0</v>
      </c>
      <c r="J264" s="125">
        <f t="shared" si="72"/>
        <v>0</v>
      </c>
      <c r="K264" s="125">
        <f t="shared" si="73"/>
        <v>0</v>
      </c>
      <c r="L264" s="5">
        <f t="shared" si="74"/>
        <v>0</v>
      </c>
      <c r="M264" s="119"/>
      <c r="N264" s="400">
        <f>_xlfn.IFNA(VLOOKUP($C264,'Facteurs d''émission'!$D$2:$I$344,4,FALSE),"Non présent dans la base")</f>
        <v>0.2</v>
      </c>
      <c r="O264" s="291"/>
      <c r="P264" s="5">
        <f t="shared" si="75"/>
        <v>0</v>
      </c>
      <c r="Q264" s="5">
        <f t="shared" si="76"/>
        <v>0</v>
      </c>
      <c r="R264" s="5">
        <f t="shared" si="77"/>
        <v>0</v>
      </c>
      <c r="S264" s="5">
        <f t="shared" si="78"/>
        <v>0</v>
      </c>
      <c r="T264" s="14" t="str">
        <f t="shared" si="83"/>
        <v/>
      </c>
      <c r="U264" s="292"/>
      <c r="V264" s="5">
        <f t="shared" si="79"/>
        <v>0</v>
      </c>
      <c r="W264" s="5">
        <f t="shared" si="80"/>
        <v>0</v>
      </c>
      <c r="X264" s="5">
        <f t="shared" si="81"/>
        <v>0</v>
      </c>
      <c r="Y264" s="5">
        <f t="shared" si="82"/>
        <v>0</v>
      </c>
      <c r="AA264" s="672"/>
      <c r="AB264" s="673"/>
      <c r="AC264" s="673"/>
      <c r="AD264" s="673"/>
      <c r="AE264" s="674"/>
    </row>
    <row r="265" spans="3:31" s="14" customFormat="1" ht="12.75" customHeight="1">
      <c r="C265" s="133" t="s">
        <v>6</v>
      </c>
      <c r="D265" s="304"/>
      <c r="E265" s="304"/>
      <c r="F265" s="304"/>
      <c r="G265" s="399">
        <f>_xlfn.IFNA(VLOOKUP($C265,'Facteurs d''émission'!$D$2:$I$344,2,FALSE),"Non renseigné")</f>
        <v>3.1699999999999999E-2</v>
      </c>
      <c r="H265"/>
      <c r="I265" s="125">
        <f t="shared" si="71"/>
        <v>0</v>
      </c>
      <c r="J265" s="125">
        <f t="shared" si="72"/>
        <v>0</v>
      </c>
      <c r="K265" s="125">
        <f t="shared" si="73"/>
        <v>0</v>
      </c>
      <c r="L265" s="5">
        <f t="shared" si="74"/>
        <v>0</v>
      </c>
      <c r="M265" s="119"/>
      <c r="N265" s="400">
        <f>_xlfn.IFNA(VLOOKUP($C265,'Facteurs d''émission'!$D$2:$I$344,4,FALSE),"Non présent dans la base")</f>
        <v>0.2</v>
      </c>
      <c r="O265" s="291"/>
      <c r="P265" s="5">
        <f t="shared" si="75"/>
        <v>0</v>
      </c>
      <c r="Q265" s="5">
        <f t="shared" si="76"/>
        <v>0</v>
      </c>
      <c r="R265" s="5">
        <f t="shared" si="77"/>
        <v>0</v>
      </c>
      <c r="S265" s="5">
        <f t="shared" si="78"/>
        <v>0</v>
      </c>
      <c r="T265" s="14" t="str">
        <f t="shared" si="83"/>
        <v/>
      </c>
      <c r="U265" s="292"/>
      <c r="V265" s="5">
        <f t="shared" si="79"/>
        <v>0</v>
      </c>
      <c r="W265" s="5">
        <f t="shared" si="80"/>
        <v>0</v>
      </c>
      <c r="X265" s="5">
        <f t="shared" si="81"/>
        <v>0</v>
      </c>
      <c r="Y265" s="5">
        <f t="shared" si="82"/>
        <v>0</v>
      </c>
      <c r="AA265" s="672"/>
      <c r="AB265" s="673"/>
      <c r="AC265" s="673"/>
      <c r="AD265" s="673"/>
      <c r="AE265" s="674"/>
    </row>
    <row r="266" spans="3:31" s="14" customFormat="1" ht="12.75" customHeight="1">
      <c r="C266" s="133" t="s">
        <v>22</v>
      </c>
      <c r="D266" s="304"/>
      <c r="E266" s="304"/>
      <c r="F266" s="304"/>
      <c r="G266" s="399">
        <f>_xlfn.IFNA(VLOOKUP($C266,'Facteurs d''émission'!$D$2:$I$344,2,FALSE),"Non renseigné")</f>
        <v>3.9699999999999999E-2</v>
      </c>
      <c r="H266"/>
      <c r="I266" s="125">
        <f t="shared" si="71"/>
        <v>0</v>
      </c>
      <c r="J266" s="125">
        <f t="shared" si="72"/>
        <v>0</v>
      </c>
      <c r="K266" s="125">
        <f t="shared" si="73"/>
        <v>0</v>
      </c>
      <c r="L266" s="5">
        <f t="shared" si="74"/>
        <v>0</v>
      </c>
      <c r="M266" s="119"/>
      <c r="N266" s="400">
        <f>_xlfn.IFNA(VLOOKUP($C266,'Facteurs d''émission'!$D$2:$I$344,4,FALSE),"Non présent dans la base")</f>
        <v>0.2</v>
      </c>
      <c r="O266" s="291"/>
      <c r="P266" s="5">
        <f t="shared" si="75"/>
        <v>0</v>
      </c>
      <c r="Q266" s="5">
        <f t="shared" si="76"/>
        <v>0</v>
      </c>
      <c r="R266" s="5">
        <f t="shared" si="77"/>
        <v>0</v>
      </c>
      <c r="S266" s="5">
        <f t="shared" si="78"/>
        <v>0</v>
      </c>
      <c r="T266" s="14" t="str">
        <f t="shared" si="83"/>
        <v/>
      </c>
      <c r="U266" s="292"/>
      <c r="V266" s="5">
        <f t="shared" si="79"/>
        <v>0</v>
      </c>
      <c r="W266" s="5">
        <f t="shared" si="80"/>
        <v>0</v>
      </c>
      <c r="X266" s="5">
        <f t="shared" si="81"/>
        <v>0</v>
      </c>
      <c r="Y266" s="5">
        <f t="shared" si="82"/>
        <v>0</v>
      </c>
      <c r="AA266" s="672"/>
      <c r="AB266" s="673"/>
      <c r="AC266" s="673"/>
      <c r="AD266" s="673"/>
      <c r="AE266" s="674"/>
    </row>
    <row r="267" spans="3:31" s="14" customFormat="1" ht="12.75" customHeight="1">
      <c r="C267" s="133" t="s">
        <v>47</v>
      </c>
      <c r="D267" s="304"/>
      <c r="E267" s="304"/>
      <c r="F267" s="304"/>
      <c r="G267" s="399">
        <f>_xlfn.IFNA(VLOOKUP($C267,'Facteurs d''émission'!$D$2:$I$344,2,FALSE),"Non renseigné")</f>
        <v>7.4999999999999997E-2</v>
      </c>
      <c r="H267"/>
      <c r="I267" s="125">
        <f t="shared" si="71"/>
        <v>0</v>
      </c>
      <c r="J267" s="125">
        <f t="shared" si="72"/>
        <v>0</v>
      </c>
      <c r="K267" s="125">
        <f t="shared" si="73"/>
        <v>0</v>
      </c>
      <c r="L267" s="5">
        <f t="shared" si="74"/>
        <v>0</v>
      </c>
      <c r="M267" s="119"/>
      <c r="N267" s="400">
        <f>_xlfn.IFNA(VLOOKUP($C267,'Facteurs d''émission'!$D$2:$I$344,4,FALSE),"Non présent dans la base")</f>
        <v>0.2</v>
      </c>
      <c r="O267" s="291"/>
      <c r="P267" s="5">
        <f t="shared" si="75"/>
        <v>0</v>
      </c>
      <c r="Q267" s="5">
        <f t="shared" si="76"/>
        <v>0</v>
      </c>
      <c r="R267" s="5">
        <f t="shared" si="77"/>
        <v>0</v>
      </c>
      <c r="S267" s="5">
        <f t="shared" si="78"/>
        <v>0</v>
      </c>
      <c r="T267" s="14" t="str">
        <f t="shared" si="83"/>
        <v/>
      </c>
      <c r="U267" s="292"/>
      <c r="V267" s="5">
        <f t="shared" si="79"/>
        <v>0</v>
      </c>
      <c r="W267" s="5">
        <f t="shared" si="80"/>
        <v>0</v>
      </c>
      <c r="X267" s="5">
        <f t="shared" si="81"/>
        <v>0</v>
      </c>
      <c r="Y267" s="5">
        <f t="shared" si="82"/>
        <v>0</v>
      </c>
      <c r="AA267" s="672"/>
      <c r="AB267" s="673"/>
      <c r="AC267" s="673"/>
      <c r="AD267" s="673"/>
      <c r="AE267" s="674"/>
    </row>
    <row r="268" spans="3:31" s="14" customFormat="1" ht="12.75" customHeight="1">
      <c r="C268" s="133" t="s">
        <v>0</v>
      </c>
      <c r="D268" s="304"/>
      <c r="E268" s="304"/>
      <c r="F268" s="304"/>
      <c r="G268" s="399">
        <f>_xlfn.IFNA(VLOOKUP($C268,'Facteurs d''émission'!$D$2:$I$344,2,FALSE),"Non renseigné")</f>
        <v>3.7399999999999998E-3</v>
      </c>
      <c r="H268"/>
      <c r="I268" s="125">
        <f t="shared" ref="I268:I270" si="84">D268*$G268</f>
        <v>0</v>
      </c>
      <c r="J268" s="125">
        <f t="shared" ref="J268:J270" si="85">E268*$G268</f>
        <v>0</v>
      </c>
      <c r="K268" s="125">
        <f t="shared" ref="K268:K270" si="86">F268*$G268</f>
        <v>0</v>
      </c>
      <c r="L268" s="5">
        <f t="shared" ref="L268:L270" si="87">SUM(I268:K268)</f>
        <v>0</v>
      </c>
      <c r="M268" s="119"/>
      <c r="N268" s="400">
        <f>_xlfn.IFNA(VLOOKUP($C268,'Facteurs d''émission'!$D$2:$I$344,4,FALSE),"Non présent dans la base")</f>
        <v>0.2</v>
      </c>
      <c r="O268" s="291"/>
      <c r="P268" s="5">
        <f t="shared" ref="P268:P270" si="88">I268*(1-(1-$N268)*(1-$O268))</f>
        <v>0</v>
      </c>
      <c r="Q268" s="5">
        <f t="shared" ref="Q268:Q270" si="89">J268*(1-(1-$N268)*(1-$O268))</f>
        <v>0</v>
      </c>
      <c r="R268" s="5">
        <f t="shared" ref="R268:R270" si="90">K268*(1-(1-$N268)*(1-$O268))</f>
        <v>0</v>
      </c>
      <c r="S268" s="5">
        <f t="shared" ref="S268:S270" si="91">SUM(P268:R268)</f>
        <v>0</v>
      </c>
      <c r="T268" s="14" t="str">
        <f t="shared" ref="T268:T270" si="92">IF(COUNTA(D268:F268)*COUNTA(O268)&gt;0,COUNTA(D268:F268),"")</f>
        <v/>
      </c>
      <c r="U268" s="292"/>
      <c r="V268" s="5">
        <f t="shared" ref="V268:V270" si="93">$U268*I268</f>
        <v>0</v>
      </c>
      <c r="W268" s="5">
        <f t="shared" ref="W268:W270" si="94">$U268*J268</f>
        <v>0</v>
      </c>
      <c r="X268" s="5">
        <f t="shared" ref="X268:X270" si="95">$U268*K268</f>
        <v>0</v>
      </c>
      <c r="Y268" s="5">
        <f t="shared" ref="Y268:Y270" si="96">SUM(V268:X268)</f>
        <v>0</v>
      </c>
      <c r="AA268" s="672"/>
      <c r="AB268" s="673"/>
      <c r="AC268" s="673"/>
      <c r="AD268" s="673"/>
      <c r="AE268" s="674"/>
    </row>
    <row r="269" spans="3:31" s="14" customFormat="1" ht="12.75" customHeight="1">
      <c r="C269" s="133" t="s">
        <v>357</v>
      </c>
      <c r="D269" s="304"/>
      <c r="E269" s="304"/>
      <c r="F269" s="304"/>
      <c r="G269" s="399">
        <f>_xlfn.IFNA(VLOOKUP($C269,'Facteurs d''émission'!$D$2:$I$344,2,FALSE),"Non renseigné")</f>
        <v>0</v>
      </c>
      <c r="H269"/>
      <c r="I269" s="125">
        <f t="shared" si="84"/>
        <v>0</v>
      </c>
      <c r="J269" s="125">
        <f t="shared" si="85"/>
        <v>0</v>
      </c>
      <c r="K269" s="125">
        <f t="shared" si="86"/>
        <v>0</v>
      </c>
      <c r="L269" s="5">
        <f t="shared" si="87"/>
        <v>0</v>
      </c>
      <c r="M269" s="119"/>
      <c r="N269" s="400">
        <f>_xlfn.IFNA(VLOOKUP($C269,'Facteurs d''émission'!$D$2:$I$344,4,FALSE),"Non présent dans la base")</f>
        <v>0</v>
      </c>
      <c r="O269" s="291"/>
      <c r="P269" s="5">
        <f t="shared" si="88"/>
        <v>0</v>
      </c>
      <c r="Q269" s="5">
        <f t="shared" si="89"/>
        <v>0</v>
      </c>
      <c r="R269" s="5">
        <f t="shared" si="90"/>
        <v>0</v>
      </c>
      <c r="S269" s="5">
        <f t="shared" si="91"/>
        <v>0</v>
      </c>
      <c r="T269" s="14" t="str">
        <f t="shared" si="92"/>
        <v/>
      </c>
      <c r="U269" s="292"/>
      <c r="V269" s="5">
        <f t="shared" si="93"/>
        <v>0</v>
      </c>
      <c r="W269" s="5">
        <f t="shared" si="94"/>
        <v>0</v>
      </c>
      <c r="X269" s="5">
        <f t="shared" si="95"/>
        <v>0</v>
      </c>
      <c r="Y269" s="5">
        <f t="shared" si="96"/>
        <v>0</v>
      </c>
      <c r="AA269" s="672"/>
      <c r="AB269" s="673"/>
      <c r="AC269" s="673"/>
      <c r="AD269" s="673"/>
      <c r="AE269" s="674"/>
    </row>
    <row r="270" spans="3:31" s="14" customFormat="1" ht="12.75" customHeight="1">
      <c r="C270" s="133" t="s">
        <v>357</v>
      </c>
      <c r="D270" s="304"/>
      <c r="E270" s="304"/>
      <c r="F270" s="304"/>
      <c r="G270" s="399">
        <f>_xlfn.IFNA(VLOOKUP($C270,'Facteurs d''émission'!$D$2:$I$344,2,FALSE),"Non renseigné")</f>
        <v>0</v>
      </c>
      <c r="H270"/>
      <c r="I270" s="125">
        <f t="shared" si="84"/>
        <v>0</v>
      </c>
      <c r="J270" s="125">
        <f t="shared" si="85"/>
        <v>0</v>
      </c>
      <c r="K270" s="125">
        <f t="shared" si="86"/>
        <v>0</v>
      </c>
      <c r="L270" s="5">
        <f t="shared" si="87"/>
        <v>0</v>
      </c>
      <c r="M270" s="119"/>
      <c r="N270" s="400">
        <f>_xlfn.IFNA(VLOOKUP($C270,'Facteurs d''émission'!$D$2:$I$344,4,FALSE),"Non présent dans la base")</f>
        <v>0</v>
      </c>
      <c r="O270" s="291"/>
      <c r="P270" s="5">
        <f t="shared" si="88"/>
        <v>0</v>
      </c>
      <c r="Q270" s="5">
        <f t="shared" si="89"/>
        <v>0</v>
      </c>
      <c r="R270" s="5">
        <f t="shared" si="90"/>
        <v>0</v>
      </c>
      <c r="S270" s="5">
        <f t="shared" si="91"/>
        <v>0</v>
      </c>
      <c r="T270" s="14" t="str">
        <f t="shared" si="92"/>
        <v/>
      </c>
      <c r="U270" s="292"/>
      <c r="V270" s="5">
        <f t="shared" si="93"/>
        <v>0</v>
      </c>
      <c r="W270" s="5">
        <f t="shared" si="94"/>
        <v>0</v>
      </c>
      <c r="X270" s="5">
        <f t="shared" si="95"/>
        <v>0</v>
      </c>
      <c r="Y270" s="5">
        <f t="shared" si="96"/>
        <v>0</v>
      </c>
      <c r="AA270" s="672"/>
      <c r="AB270" s="673"/>
      <c r="AC270" s="673"/>
      <c r="AD270" s="673"/>
      <c r="AE270" s="674"/>
    </row>
    <row r="271" spans="3:31" s="14" customFormat="1" ht="12.75" customHeight="1">
      <c r="C271" s="133" t="s">
        <v>357</v>
      </c>
      <c r="D271" s="304"/>
      <c r="E271" s="304"/>
      <c r="F271" s="304"/>
      <c r="G271" s="399">
        <f>_xlfn.IFNA(VLOOKUP($C271,'Facteurs d''émission'!$D$2:$I$344,2,FALSE),"Non renseigné")</f>
        <v>0</v>
      </c>
      <c r="H271"/>
      <c r="I271" s="125">
        <f t="shared" si="71"/>
        <v>0</v>
      </c>
      <c r="J271" s="125">
        <f t="shared" si="72"/>
        <v>0</v>
      </c>
      <c r="K271" s="125">
        <f t="shared" si="73"/>
        <v>0</v>
      </c>
      <c r="L271" s="5">
        <f t="shared" si="74"/>
        <v>0</v>
      </c>
      <c r="M271" s="119"/>
      <c r="N271" s="400">
        <f>_xlfn.IFNA(VLOOKUP($C271,'Facteurs d''émission'!$D$2:$I$344,4,FALSE),"Non présent dans la base")</f>
        <v>0</v>
      </c>
      <c r="O271" s="291"/>
      <c r="P271" s="5">
        <f t="shared" si="75"/>
        <v>0</v>
      </c>
      <c r="Q271" s="5">
        <f t="shared" si="76"/>
        <v>0</v>
      </c>
      <c r="R271" s="5">
        <f t="shared" si="77"/>
        <v>0</v>
      </c>
      <c r="S271" s="5">
        <f t="shared" si="78"/>
        <v>0</v>
      </c>
      <c r="T271" s="14" t="str">
        <f t="shared" si="83"/>
        <v/>
      </c>
      <c r="U271" s="292"/>
      <c r="V271" s="5">
        <f t="shared" si="79"/>
        <v>0</v>
      </c>
      <c r="W271" s="5">
        <f t="shared" si="80"/>
        <v>0</v>
      </c>
      <c r="X271" s="5">
        <f t="shared" si="81"/>
        <v>0</v>
      </c>
      <c r="Y271" s="5">
        <f t="shared" si="82"/>
        <v>0</v>
      </c>
      <c r="AA271" s="672"/>
      <c r="AB271" s="673"/>
      <c r="AC271" s="673"/>
      <c r="AD271" s="673"/>
      <c r="AE271" s="674"/>
    </row>
    <row r="272" spans="3:31" s="15" customFormat="1" ht="12.75" customHeight="1">
      <c r="C272" s="371" t="s">
        <v>12</v>
      </c>
      <c r="D272" s="126">
        <f>SUM(D259:D271)</f>
        <v>0</v>
      </c>
      <c r="E272" s="126">
        <f>SUM(E259:E271)</f>
        <v>0</v>
      </c>
      <c r="F272" s="126">
        <f t="shared" ref="F272" si="97">SUM(F259:F271)</f>
        <v>0</v>
      </c>
      <c r="G272" s="391"/>
      <c r="H272"/>
      <c r="I272" s="126">
        <f>SUM(I259:I271)</f>
        <v>0</v>
      </c>
      <c r="J272" s="126">
        <f>SUM(J259:J271)</f>
        <v>0</v>
      </c>
      <c r="K272" s="126">
        <f>SUM(K259:K271)</f>
        <v>0</v>
      </c>
      <c r="L272" s="126">
        <f>SUM(L259:L271)</f>
        <v>0</v>
      </c>
      <c r="M272" s="121"/>
      <c r="N272" s="627" t="str">
        <f>IF(COUNTA(D259:F271)&gt;SUM(T259:T271),"! Remplir une incertitude !","")</f>
        <v/>
      </c>
      <c r="O272" s="628"/>
      <c r="P272" s="67">
        <f>SUM(P259:P271)</f>
        <v>0</v>
      </c>
      <c r="Q272" s="67">
        <f>SUM(Q259:Q271)</f>
        <v>0</v>
      </c>
      <c r="R272" s="62">
        <f>SUM(R259:R271)</f>
        <v>0</v>
      </c>
      <c r="S272" s="62">
        <f>SUM(S259:S271)</f>
        <v>0</v>
      </c>
      <c r="U272" s="65"/>
      <c r="V272" s="67">
        <f>SUM(V259:V271)</f>
        <v>0</v>
      </c>
      <c r="W272" s="67">
        <f>SUM(W259:W271)</f>
        <v>0</v>
      </c>
      <c r="X272" s="62">
        <f>SUM(X259:X271)</f>
        <v>0</v>
      </c>
      <c r="Y272" s="62">
        <f>SUM(Y259:Y271)</f>
        <v>0</v>
      </c>
      <c r="AA272" s="678" t="str">
        <f>IF(Y272&gt;0,IF(AA258="","Attention: vous devez planifier une action afin de remplir votre objectif",""),"")</f>
        <v/>
      </c>
      <c r="AB272" s="678"/>
      <c r="AC272" s="678"/>
      <c r="AD272" s="678"/>
      <c r="AE272" s="678"/>
    </row>
    <row r="273" spans="3:31" s="14" customFormat="1" ht="25.35" customHeight="1">
      <c r="C273" s="121"/>
      <c r="D273" s="119"/>
      <c r="E273" s="119"/>
      <c r="F273" s="119"/>
      <c r="G273" s="168"/>
      <c r="H273"/>
      <c r="I273" s="128"/>
      <c r="J273" s="128"/>
      <c r="K273" s="128"/>
      <c r="L273" s="128"/>
      <c r="M273" s="119"/>
      <c r="N273" s="13"/>
      <c r="P273" s="13"/>
      <c r="Q273" s="13"/>
      <c r="R273" s="13"/>
      <c r="S273" s="76"/>
      <c r="V273" s="13"/>
      <c r="W273" s="13"/>
      <c r="X273" s="13"/>
      <c r="Y273" s="76"/>
    </row>
    <row r="274" spans="3:31" s="14" customFormat="1" ht="12.75" customHeight="1">
      <c r="C274" s="121"/>
      <c r="D274" s="119"/>
      <c r="E274" s="15" t="s">
        <v>366</v>
      </c>
      <c r="F274" s="119"/>
      <c r="G274" s="168"/>
      <c r="H274"/>
      <c r="I274" s="128"/>
      <c r="J274" s="128"/>
      <c r="K274" s="128"/>
      <c r="L274" s="128"/>
      <c r="M274" s="119"/>
      <c r="N274" s="13"/>
      <c r="P274" s="13"/>
      <c r="Q274" s="13"/>
      <c r="R274" s="13"/>
      <c r="S274" s="76"/>
      <c r="V274" s="13"/>
      <c r="W274" s="13"/>
      <c r="X274" s="13"/>
      <c r="Y274" s="76"/>
    </row>
    <row r="275" spans="3:31" s="14" customFormat="1" ht="12.75" customHeight="1">
      <c r="C275" s="129"/>
      <c r="D275" s="129"/>
      <c r="E275" s="129"/>
      <c r="F275" s="129"/>
      <c r="G275" s="168"/>
      <c r="H275" s="119"/>
      <c r="I275" s="129"/>
      <c r="J275" s="129"/>
      <c r="K275" s="168"/>
      <c r="L275" s="129"/>
      <c r="M275" s="129"/>
      <c r="N275" s="168"/>
      <c r="O275" s="129"/>
    </row>
    <row r="276" spans="3:31" s="14" customFormat="1" ht="12.75" customHeight="1">
      <c r="C276" s="360" t="s">
        <v>145</v>
      </c>
      <c r="D276" s="118"/>
      <c r="E276" s="118"/>
      <c r="F276" s="118"/>
      <c r="G276" s="170"/>
      <c r="I276" s="76" t="s">
        <v>358</v>
      </c>
      <c r="K276" s="13"/>
      <c r="N276" s="181" t="s">
        <v>65</v>
      </c>
      <c r="O276" s="50"/>
      <c r="P276" s="50"/>
      <c r="Q276" s="50"/>
      <c r="R276" s="50"/>
      <c r="S276" s="50"/>
      <c r="T276" s="16"/>
      <c r="U276" s="50" t="s">
        <v>117</v>
      </c>
      <c r="V276" s="50"/>
      <c r="W276" s="50"/>
      <c r="X276" s="50"/>
      <c r="Y276" s="50"/>
      <c r="AA276" s="15" t="s">
        <v>115</v>
      </c>
    </row>
    <row r="277" spans="3:31" s="14" customFormat="1" ht="12.75" customHeight="1">
      <c r="C277" s="364" t="s">
        <v>96</v>
      </c>
      <c r="D277" s="732" t="s">
        <v>40</v>
      </c>
      <c r="E277" s="733"/>
      <c r="F277" s="720" t="s">
        <v>391</v>
      </c>
      <c r="G277" s="620" t="s">
        <v>392</v>
      </c>
      <c r="H277"/>
      <c r="I277" s="734" t="s">
        <v>265</v>
      </c>
      <c r="J277" s="735"/>
      <c r="K277" s="736"/>
      <c r="M277" s="119"/>
      <c r="N277" s="737" t="s">
        <v>329</v>
      </c>
      <c r="O277" s="646" t="s">
        <v>394</v>
      </c>
      <c r="P277" s="635" t="s">
        <v>265</v>
      </c>
      <c r="Q277" s="635"/>
      <c r="R277" s="635"/>
      <c r="S277" s="635"/>
      <c r="T277" s="16"/>
      <c r="U277" s="617" t="s">
        <v>331</v>
      </c>
      <c r="V277" s="682" t="s">
        <v>271</v>
      </c>
      <c r="W277" s="683"/>
      <c r="X277" s="683"/>
      <c r="Y277" s="683"/>
      <c r="AA277" s="611" t="s">
        <v>167</v>
      </c>
      <c r="AB277" s="611"/>
      <c r="AC277" s="611"/>
      <c r="AD277" s="611"/>
      <c r="AE277" s="611"/>
    </row>
    <row r="278" spans="3:31" s="14" customFormat="1" ht="12.75" customHeight="1">
      <c r="C278" s="364"/>
      <c r="D278" s="364" t="s">
        <v>36</v>
      </c>
      <c r="E278" s="397" t="s">
        <v>28</v>
      </c>
      <c r="F278" s="721"/>
      <c r="G278" s="622"/>
      <c r="H278"/>
      <c r="I278" s="364" t="s">
        <v>39</v>
      </c>
      <c r="J278" s="363" t="s">
        <v>28</v>
      </c>
      <c r="K278" s="365" t="s">
        <v>26</v>
      </c>
      <c r="M278" s="119"/>
      <c r="N278" s="737"/>
      <c r="O278" s="646"/>
      <c r="P278" s="739"/>
      <c r="Q278" s="364" t="s">
        <v>39</v>
      </c>
      <c r="R278" s="364" t="s">
        <v>28</v>
      </c>
      <c r="S278" s="365" t="s">
        <v>26</v>
      </c>
      <c r="T278" s="11"/>
      <c r="U278" s="738"/>
      <c r="V278" s="679"/>
      <c r="W278" s="364" t="s">
        <v>39</v>
      </c>
      <c r="X278" s="364" t="s">
        <v>28</v>
      </c>
      <c r="Y278" s="365" t="s">
        <v>26</v>
      </c>
      <c r="AA278" s="669" t="s">
        <v>318</v>
      </c>
      <c r="AB278" s="670"/>
      <c r="AC278" s="670"/>
      <c r="AD278" s="670"/>
      <c r="AE278" s="671"/>
    </row>
    <row r="279" spans="3:31" s="14" customFormat="1" ht="12.75" customHeight="1">
      <c r="C279" s="196" t="s">
        <v>440</v>
      </c>
      <c r="D279" s="304"/>
      <c r="E279" s="304"/>
      <c r="F279" s="399">
        <f>_xlfn.IFNA(VLOOKUP($C279,'Facteurs d''émission'!$D$2:$I$344,2,FALSE),"Non renseigné")</f>
        <v>0.29333333333333333</v>
      </c>
      <c r="G279" s="347"/>
      <c r="H279"/>
      <c r="I279" s="125">
        <f>D279*($F279+$G279)</f>
        <v>0</v>
      </c>
      <c r="J279" s="125">
        <f>E279*($F279+$G279)</f>
        <v>0</v>
      </c>
      <c r="K279" s="5">
        <f>SUM(H279:J279)</f>
        <v>0</v>
      </c>
      <c r="M279" s="119"/>
      <c r="N279" s="423">
        <f>_xlfn.IFNA(VLOOKUP($C279,'Facteurs d''émission'!$D$2:$I$344,4,FALSE),"Non présent dans la base")</f>
        <v>0.2</v>
      </c>
      <c r="O279" s="291"/>
      <c r="P279" s="739"/>
      <c r="Q279" s="5">
        <f t="shared" ref="Q279:R284" si="98">I279*(1-(1-$N279)*(1-$O279))</f>
        <v>0</v>
      </c>
      <c r="R279" s="5">
        <f t="shared" si="98"/>
        <v>0</v>
      </c>
      <c r="S279" s="5">
        <f>SUM(Q279:R279)</f>
        <v>0</v>
      </c>
      <c r="T279" s="14" t="str">
        <f>IF(COUNTA(D279:E279)*COUNTA(O279)&gt;0,COUNTA(D279:E279),"")</f>
        <v/>
      </c>
      <c r="U279" s="308"/>
      <c r="V279" s="680"/>
      <c r="W279" s="5">
        <f t="shared" ref="W279:X284" si="99">$U279*I279</f>
        <v>0</v>
      </c>
      <c r="X279" s="5">
        <f t="shared" si="99"/>
        <v>0</v>
      </c>
      <c r="Y279" s="5">
        <f t="shared" ref="Y279:Y284" si="100">SUM(W279:X279)</f>
        <v>0</v>
      </c>
      <c r="AA279" s="672"/>
      <c r="AB279" s="673"/>
      <c r="AC279" s="673"/>
      <c r="AD279" s="673"/>
      <c r="AE279" s="674"/>
    </row>
    <row r="280" spans="3:31" s="14" customFormat="1" ht="12.75" customHeight="1">
      <c r="C280" s="196" t="s">
        <v>441</v>
      </c>
      <c r="D280" s="304"/>
      <c r="E280" s="304"/>
      <c r="F280" s="399">
        <f>_xlfn.IFNA(VLOOKUP($C280,'Facteurs d''émission'!$D$2:$I$344,2,FALSE),"Non renseigné")</f>
        <v>0.65999999999999992</v>
      </c>
      <c r="G280" s="347"/>
      <c r="H280"/>
      <c r="I280" s="125">
        <f t="shared" ref="I280:I284" si="101">D280*($F280+$G280)</f>
        <v>0</v>
      </c>
      <c r="J280" s="125">
        <f t="shared" ref="J280:J284" si="102">E280*($F280+$G280)</f>
        <v>0</v>
      </c>
      <c r="K280" s="5">
        <f t="shared" ref="K280:K284" si="103">SUM(H280:J280)</f>
        <v>0</v>
      </c>
      <c r="M280" s="119"/>
      <c r="N280" s="423">
        <f>_xlfn.IFNA(VLOOKUP($C280,'Facteurs d''émission'!$D$2:$I$344,4,FALSE),"Non présent dans la base")</f>
        <v>0.2</v>
      </c>
      <c r="O280" s="291"/>
      <c r="P280" s="739"/>
      <c r="Q280" s="5">
        <f t="shared" si="98"/>
        <v>0</v>
      </c>
      <c r="R280" s="5">
        <f t="shared" si="98"/>
        <v>0</v>
      </c>
      <c r="S280" s="5">
        <f t="shared" ref="S280:S284" si="104">SUM(Q280:R280)</f>
        <v>0</v>
      </c>
      <c r="T280" s="14" t="str">
        <f t="shared" ref="T280:T284" si="105">IF(COUNTA(D280:E280)*COUNTA(O280)&gt;0,COUNTA(D280:E280),"")</f>
        <v/>
      </c>
      <c r="U280" s="308"/>
      <c r="V280" s="680"/>
      <c r="W280" s="5">
        <f t="shared" si="99"/>
        <v>0</v>
      </c>
      <c r="X280" s="5">
        <f t="shared" si="99"/>
        <v>0</v>
      </c>
      <c r="Y280" s="5">
        <f t="shared" si="100"/>
        <v>0</v>
      </c>
      <c r="AA280" s="672"/>
      <c r="AB280" s="673"/>
      <c r="AC280" s="673"/>
      <c r="AD280" s="673"/>
      <c r="AE280" s="674"/>
    </row>
    <row r="281" spans="3:31" s="14" customFormat="1" ht="12.75" customHeight="1">
      <c r="C281" s="196" t="s">
        <v>442</v>
      </c>
      <c r="D281" s="304"/>
      <c r="E281" s="304"/>
      <c r="F281" s="399">
        <f>_xlfn.IFNA(VLOOKUP($C281,'Facteurs d''émission'!$D$2:$I$344,2,FALSE),"Non renseigné")</f>
        <v>0.21999999999999997</v>
      </c>
      <c r="G281" s="347"/>
      <c r="H281"/>
      <c r="I281" s="125">
        <f t="shared" si="101"/>
        <v>0</v>
      </c>
      <c r="J281" s="125">
        <f t="shared" si="102"/>
        <v>0</v>
      </c>
      <c r="K281" s="5">
        <f t="shared" si="103"/>
        <v>0</v>
      </c>
      <c r="M281" s="119"/>
      <c r="N281" s="423">
        <f>_xlfn.IFNA(VLOOKUP($C281,'Facteurs d''émission'!$D$2:$I$344,4,FALSE),"Non présent dans la base")</f>
        <v>0.2</v>
      </c>
      <c r="O281" s="291"/>
      <c r="P281" s="739"/>
      <c r="Q281" s="5">
        <f t="shared" si="98"/>
        <v>0</v>
      </c>
      <c r="R281" s="5">
        <f t="shared" si="98"/>
        <v>0</v>
      </c>
      <c r="S281" s="5">
        <f t="shared" si="104"/>
        <v>0</v>
      </c>
      <c r="T281" s="14" t="str">
        <f t="shared" si="105"/>
        <v/>
      </c>
      <c r="U281" s="308"/>
      <c r="V281" s="680"/>
      <c r="W281" s="5">
        <f t="shared" si="99"/>
        <v>0</v>
      </c>
      <c r="X281" s="5">
        <f t="shared" si="99"/>
        <v>0</v>
      </c>
      <c r="Y281" s="5">
        <f t="shared" si="100"/>
        <v>0</v>
      </c>
      <c r="AA281" s="672"/>
      <c r="AB281" s="673"/>
      <c r="AC281" s="673"/>
      <c r="AD281" s="673"/>
      <c r="AE281" s="674"/>
    </row>
    <row r="282" spans="3:31" s="14" customFormat="1" ht="12.75" customHeight="1">
      <c r="C282" s="196" t="s">
        <v>443</v>
      </c>
      <c r="D282" s="304"/>
      <c r="E282" s="304"/>
      <c r="F282" s="399">
        <f>_xlfn.IFNA(VLOOKUP($C282,'Facteurs d''émission'!$D$2:$I$344,2,FALSE),"Non renseigné")</f>
        <v>0.51333333333333331</v>
      </c>
      <c r="G282" s="347"/>
      <c r="H282"/>
      <c r="I282" s="125">
        <f t="shared" si="101"/>
        <v>0</v>
      </c>
      <c r="J282" s="125">
        <f t="shared" si="102"/>
        <v>0</v>
      </c>
      <c r="K282" s="5">
        <f t="shared" si="103"/>
        <v>0</v>
      </c>
      <c r="M282" s="119"/>
      <c r="N282" s="423">
        <f>_xlfn.IFNA(VLOOKUP($C282,'Facteurs d''émission'!$D$2:$I$344,4,FALSE),"Non présent dans la base")</f>
        <v>0.2</v>
      </c>
      <c r="O282" s="291"/>
      <c r="P282" s="739"/>
      <c r="Q282" s="5">
        <f t="shared" si="98"/>
        <v>0</v>
      </c>
      <c r="R282" s="5">
        <f t="shared" si="98"/>
        <v>0</v>
      </c>
      <c r="S282" s="5">
        <f t="shared" si="104"/>
        <v>0</v>
      </c>
      <c r="T282" s="14" t="str">
        <f t="shared" si="105"/>
        <v/>
      </c>
      <c r="U282" s="308"/>
      <c r="V282" s="680"/>
      <c r="W282" s="5">
        <f t="shared" si="99"/>
        <v>0</v>
      </c>
      <c r="X282" s="5">
        <f t="shared" si="99"/>
        <v>0</v>
      </c>
      <c r="Y282" s="5">
        <f t="shared" si="100"/>
        <v>0</v>
      </c>
      <c r="AA282" s="672"/>
      <c r="AB282" s="673"/>
      <c r="AC282" s="673"/>
      <c r="AD282" s="673"/>
      <c r="AE282" s="674"/>
    </row>
    <row r="283" spans="3:31" s="14" customFormat="1" ht="12.75" customHeight="1">
      <c r="C283" s="196" t="s">
        <v>444</v>
      </c>
      <c r="D283" s="304"/>
      <c r="E283" s="304"/>
      <c r="F283" s="399">
        <f>_xlfn.IFNA(VLOOKUP($C283,'Facteurs d''émission'!$D$2:$I$344,2,FALSE),"Non renseigné")</f>
        <v>0.76999999999999991</v>
      </c>
      <c r="G283" s="347"/>
      <c r="H283"/>
      <c r="I283" s="125">
        <f t="shared" si="101"/>
        <v>0</v>
      </c>
      <c r="J283" s="125">
        <f t="shared" si="102"/>
        <v>0</v>
      </c>
      <c r="K283" s="5">
        <f t="shared" si="103"/>
        <v>0</v>
      </c>
      <c r="M283" s="119"/>
      <c r="N283" s="423">
        <f>_xlfn.IFNA(VLOOKUP($C283,'Facteurs d''émission'!$D$2:$I$344,4,FALSE),"Non présent dans la base")</f>
        <v>0.2</v>
      </c>
      <c r="O283" s="291"/>
      <c r="P283" s="739"/>
      <c r="Q283" s="5">
        <f t="shared" si="98"/>
        <v>0</v>
      </c>
      <c r="R283" s="5">
        <f t="shared" si="98"/>
        <v>0</v>
      </c>
      <c r="S283" s="5">
        <f t="shared" si="104"/>
        <v>0</v>
      </c>
      <c r="T283" s="14" t="str">
        <f t="shared" si="105"/>
        <v/>
      </c>
      <c r="U283" s="308"/>
      <c r="V283" s="680"/>
      <c r="W283" s="5">
        <f t="shared" si="99"/>
        <v>0</v>
      </c>
      <c r="X283" s="5">
        <f t="shared" si="99"/>
        <v>0</v>
      </c>
      <c r="Y283" s="5">
        <f t="shared" si="100"/>
        <v>0</v>
      </c>
      <c r="AA283" s="672"/>
      <c r="AB283" s="673"/>
      <c r="AC283" s="673"/>
      <c r="AD283" s="673"/>
      <c r="AE283" s="674"/>
    </row>
    <row r="284" spans="3:31" s="14" customFormat="1" ht="12.75" customHeight="1">
      <c r="C284" s="196" t="s">
        <v>357</v>
      </c>
      <c r="D284" s="304"/>
      <c r="E284" s="304"/>
      <c r="F284" s="399">
        <f>_xlfn.IFNA(VLOOKUP($C284,'Facteurs d''émission'!$D$2:$I$344,2,FALSE),"Non renseigné")</f>
        <v>0</v>
      </c>
      <c r="G284" s="347"/>
      <c r="H284"/>
      <c r="I284" s="125">
        <f t="shared" si="101"/>
        <v>0</v>
      </c>
      <c r="J284" s="125">
        <f t="shared" si="102"/>
        <v>0</v>
      </c>
      <c r="K284" s="5">
        <f t="shared" si="103"/>
        <v>0</v>
      </c>
      <c r="M284" s="119"/>
      <c r="N284" s="423">
        <f>_xlfn.IFNA(VLOOKUP($C284,'Facteurs d''émission'!$D$2:$I$344,4,FALSE),"Non présent dans la base")</f>
        <v>0</v>
      </c>
      <c r="O284" s="291"/>
      <c r="P284" s="739"/>
      <c r="Q284" s="5">
        <f t="shared" si="98"/>
        <v>0</v>
      </c>
      <c r="R284" s="5">
        <f t="shared" si="98"/>
        <v>0</v>
      </c>
      <c r="S284" s="5">
        <f t="shared" si="104"/>
        <v>0</v>
      </c>
      <c r="T284" s="14" t="str">
        <f t="shared" si="105"/>
        <v/>
      </c>
      <c r="U284" s="308"/>
      <c r="V284" s="680"/>
      <c r="W284" s="5">
        <f t="shared" si="99"/>
        <v>0</v>
      </c>
      <c r="X284" s="5">
        <f t="shared" si="99"/>
        <v>0</v>
      </c>
      <c r="Y284" s="5">
        <f t="shared" si="100"/>
        <v>0</v>
      </c>
      <c r="AA284" s="672"/>
      <c r="AB284" s="673"/>
      <c r="AC284" s="673"/>
      <c r="AD284" s="673"/>
      <c r="AE284" s="674"/>
    </row>
    <row r="285" spans="3:31" s="15" customFormat="1" ht="12.75" customHeight="1">
      <c r="C285" s="371" t="s">
        <v>12</v>
      </c>
      <c r="D285" s="126">
        <f>SUM(D279:D284)</f>
        <v>0</v>
      </c>
      <c r="E285" s="126">
        <f>SUM(E279:E284)</f>
        <v>0</v>
      </c>
      <c r="F285" s="391"/>
      <c r="G285" s="371"/>
      <c r="H285"/>
      <c r="I285" s="126">
        <f>SUM(I279:I284)</f>
        <v>0</v>
      </c>
      <c r="J285" s="126">
        <f>SUM(J279:J284)</f>
        <v>0</v>
      </c>
      <c r="K285" s="126">
        <f>SUM(K279:K284)</f>
        <v>0</v>
      </c>
      <c r="M285" s="132"/>
      <c r="N285" s="696" t="str">
        <f>IF(COUNTA(D279:E284)&gt;SUM(T279:T284),"! Remplir une incertitude !","")</f>
        <v/>
      </c>
      <c r="O285" s="697"/>
      <c r="P285" s="739"/>
      <c r="Q285" s="62">
        <f>SUM(Q279:Q284)</f>
        <v>0</v>
      </c>
      <c r="R285" s="62">
        <f>SUM(R279:R284)</f>
        <v>0</v>
      </c>
      <c r="S285" s="62">
        <f>SUM(S279:S284)</f>
        <v>0</v>
      </c>
      <c r="U285" s="65"/>
      <c r="V285" s="681"/>
      <c r="W285" s="62">
        <f>SUM(W279:W284)</f>
        <v>0</v>
      </c>
      <c r="X285" s="62">
        <f>SUM(X279:X284)</f>
        <v>0</v>
      </c>
      <c r="Y285" s="62">
        <f>SUM(Y279:Y284)</f>
        <v>0</v>
      </c>
      <c r="AA285" s="678" t="str">
        <f>IF(Y285&gt;0,IF(AA278="","Attention: vous devez planifier une action afin de remplir votre objectif",""),"")</f>
        <v/>
      </c>
      <c r="AB285" s="678"/>
      <c r="AC285" s="678"/>
      <c r="AD285" s="678"/>
      <c r="AE285" s="678"/>
    </row>
    <row r="286" spans="3:31" s="14" customFormat="1" ht="12.75" customHeight="1">
      <c r="C286" s="16"/>
      <c r="D286" s="16"/>
      <c r="E286" s="16"/>
      <c r="F286" s="16"/>
      <c r="G286" s="13"/>
      <c r="H286" s="13"/>
      <c r="K286" s="13"/>
      <c r="N286" s="13"/>
    </row>
    <row r="287" spans="3:31" s="14" customFormat="1" ht="12.75" customHeight="1">
      <c r="C287" s="16"/>
      <c r="D287" s="16"/>
      <c r="E287" s="16"/>
      <c r="F287" s="16"/>
      <c r="G287" s="13"/>
      <c r="H287" s="13"/>
      <c r="K287" s="13"/>
      <c r="N287" s="13"/>
    </row>
    <row r="288" spans="3:31" s="14" customFormat="1" ht="12.75" customHeight="1">
      <c r="C288" s="16"/>
      <c r="D288" s="16"/>
      <c r="E288" s="16"/>
      <c r="F288" s="16"/>
      <c r="G288" s="13"/>
      <c r="H288" s="13"/>
      <c r="K288" s="13"/>
      <c r="N288" s="13"/>
    </row>
    <row r="289" spans="1:16" s="80" customFormat="1" ht="15.75">
      <c r="A289" s="79"/>
      <c r="B289" s="79"/>
      <c r="C289" s="688" t="s">
        <v>146</v>
      </c>
      <c r="D289" s="688"/>
      <c r="E289" s="688"/>
      <c r="F289" s="688"/>
      <c r="G289" s="688"/>
      <c r="H289" s="688"/>
      <c r="I289" s="688"/>
      <c r="J289" s="688"/>
      <c r="K289" s="688"/>
      <c r="L289" s="27"/>
      <c r="N289" s="134"/>
    </row>
    <row r="290" spans="1:16" s="80" customFormat="1">
      <c r="C290" s="134"/>
      <c r="D290" s="134"/>
      <c r="G290" s="134"/>
      <c r="K290" s="134"/>
      <c r="N290" s="134"/>
    </row>
    <row r="291" spans="1:16" s="79" customFormat="1">
      <c r="A291" s="80"/>
      <c r="B291" s="80"/>
      <c r="C291" s="15" t="s">
        <v>148</v>
      </c>
      <c r="D291" s="15"/>
      <c r="E291" s="421" t="s">
        <v>20</v>
      </c>
      <c r="F291" s="422"/>
      <c r="G291"/>
      <c r="H291" s="16"/>
      <c r="I291" s="610" t="s">
        <v>65</v>
      </c>
      <c r="J291" s="610"/>
      <c r="K291" s="610"/>
      <c r="L291" s="16"/>
      <c r="M291" s="645" t="s">
        <v>117</v>
      </c>
      <c r="N291" s="630"/>
      <c r="O291" s="630"/>
      <c r="P291" s="16" t="s">
        <v>13</v>
      </c>
    </row>
    <row r="292" spans="1:16" s="80" customFormat="1">
      <c r="A292" s="79"/>
      <c r="B292" s="79"/>
      <c r="C292" s="418" t="s">
        <v>90</v>
      </c>
      <c r="D292" s="419" t="s">
        <v>265</v>
      </c>
      <c r="E292" s="419" t="s">
        <v>355</v>
      </c>
      <c r="F292" s="420" t="s">
        <v>70</v>
      </c>
      <c r="G292"/>
      <c r="H292" s="81"/>
      <c r="I292" s="419" t="s">
        <v>265</v>
      </c>
      <c r="J292" s="419" t="s">
        <v>355</v>
      </c>
      <c r="K292" s="419" t="s">
        <v>53</v>
      </c>
      <c r="L292" s="81"/>
      <c r="M292" s="419" t="s">
        <v>265</v>
      </c>
      <c r="N292" s="420" t="s">
        <v>355</v>
      </c>
      <c r="O292" s="419" t="s">
        <v>52</v>
      </c>
      <c r="P292" s="419" t="s">
        <v>355</v>
      </c>
    </row>
    <row r="293" spans="1:16" s="79" customFormat="1">
      <c r="C293" s="105" t="s">
        <v>21</v>
      </c>
      <c r="D293" s="109">
        <f>I222+I239+I251+I272+H285</f>
        <v>0</v>
      </c>
      <c r="E293" s="103">
        <f t="shared" ref="E293:E302" si="106">D293/1000</f>
        <v>0</v>
      </c>
      <c r="F293" s="192" t="str">
        <f>IF(E$303=0,"",E293/E$303)</f>
        <v/>
      </c>
      <c r="I293" s="103">
        <f>P222+P239+P251+P272</f>
        <v>0</v>
      </c>
      <c r="J293" s="103">
        <f>I293/1000</f>
        <v>0</v>
      </c>
      <c r="K293" s="110" t="str">
        <f>IF(D293=0,"",I293/D293)</f>
        <v/>
      </c>
      <c r="M293" s="103">
        <f>V222+V239+V251+V272</f>
        <v>0</v>
      </c>
      <c r="N293" s="103">
        <f>M293/1000</f>
        <v>0</v>
      </c>
      <c r="O293" s="86" t="str">
        <f>IF($D293=0,"",M293/$D299)</f>
        <v/>
      </c>
      <c r="P293" s="112">
        <f>E293-N293</f>
        <v>0</v>
      </c>
    </row>
    <row r="294" spans="1:16" s="79" customFormat="1">
      <c r="C294" s="105" t="s">
        <v>41</v>
      </c>
      <c r="D294" s="109">
        <f>J222+J239+J251+J272+I285</f>
        <v>0</v>
      </c>
      <c r="E294" s="103">
        <f t="shared" si="106"/>
        <v>0</v>
      </c>
      <c r="F294" s="192" t="str">
        <f>IF(E$303=0,"",E294/E$303)</f>
        <v/>
      </c>
      <c r="I294" s="103">
        <f>Q222+Q239+Q251+Q272+Q285</f>
        <v>0</v>
      </c>
      <c r="J294" s="103">
        <f>I294/1000</f>
        <v>0</v>
      </c>
      <c r="K294" s="110" t="str">
        <f>IF(D294=0,"",I294/D294)</f>
        <v/>
      </c>
      <c r="M294" s="103">
        <f>W222+W239+W251+W272+W285</f>
        <v>0</v>
      </c>
      <c r="N294" s="103">
        <f>M294/1000</f>
        <v>0</v>
      </c>
      <c r="O294" s="86" t="str">
        <f>IF($D294=0,"",M294/$D300)</f>
        <v/>
      </c>
      <c r="P294" s="112">
        <f>E294-N294</f>
        <v>0</v>
      </c>
    </row>
    <row r="295" spans="1:16" s="79" customFormat="1">
      <c r="C295" s="105" t="s">
        <v>42</v>
      </c>
      <c r="D295" s="109">
        <f>K222+K239+K251+K272+J285</f>
        <v>0</v>
      </c>
      <c r="E295" s="103">
        <f t="shared" si="106"/>
        <v>0</v>
      </c>
      <c r="F295" s="192" t="str">
        <f>IF(E$303=0,"",E295/E$303)</f>
        <v/>
      </c>
      <c r="I295" s="103">
        <f>R222+R239+R251+R272+R285</f>
        <v>0</v>
      </c>
      <c r="J295" s="103">
        <f>I295/1000</f>
        <v>0</v>
      </c>
      <c r="K295" s="110" t="str">
        <f>IF(D295=0,"",I295/D295)</f>
        <v/>
      </c>
      <c r="M295" s="103">
        <f>X222+X239+X251+X272+X285</f>
        <v>0</v>
      </c>
      <c r="N295" s="103">
        <f>M295/1000</f>
        <v>0</v>
      </c>
      <c r="O295" s="86" t="str">
        <f>IF($D295=0,"",M295/$D301)</f>
        <v/>
      </c>
      <c r="P295" s="112">
        <f>E295-N295</f>
        <v>0</v>
      </c>
    </row>
    <row r="296" spans="1:16" s="79" customFormat="1">
      <c r="F296" s="107"/>
      <c r="H296" s="15"/>
      <c r="L296" s="15"/>
      <c r="N296" s="182"/>
    </row>
    <row r="297" spans="1:16" s="79" customFormat="1">
      <c r="C297" s="15" t="s">
        <v>147</v>
      </c>
      <c r="D297" s="244" t="s">
        <v>20</v>
      </c>
      <c r="E297" s="251"/>
      <c r="F297" s="251"/>
      <c r="H297" s="16"/>
      <c r="I297" s="610" t="s">
        <v>65</v>
      </c>
      <c r="J297" s="610"/>
      <c r="K297" s="610"/>
      <c r="L297" s="16"/>
      <c r="M297" s="645" t="s">
        <v>117</v>
      </c>
      <c r="N297" s="630"/>
      <c r="O297" s="630"/>
      <c r="P297" s="16" t="s">
        <v>13</v>
      </c>
    </row>
    <row r="298" spans="1:16" s="80" customFormat="1">
      <c r="A298" s="79"/>
      <c r="B298" s="79"/>
      <c r="C298" s="418" t="s">
        <v>91</v>
      </c>
      <c r="D298" s="419" t="s">
        <v>265</v>
      </c>
      <c r="E298" s="419" t="s">
        <v>355</v>
      </c>
      <c r="F298" s="420" t="s">
        <v>70</v>
      </c>
      <c r="H298" s="81"/>
      <c r="I298" s="419" t="s">
        <v>265</v>
      </c>
      <c r="J298" s="419" t="s">
        <v>355</v>
      </c>
      <c r="K298" s="419" t="s">
        <v>53</v>
      </c>
      <c r="L298" s="81"/>
      <c r="M298" s="419" t="s">
        <v>265</v>
      </c>
      <c r="N298" s="420" t="s">
        <v>355</v>
      </c>
      <c r="O298" s="419" t="s">
        <v>52</v>
      </c>
      <c r="P298" s="419" t="s">
        <v>355</v>
      </c>
    </row>
    <row r="299" spans="1:16" s="80" customFormat="1">
      <c r="C299" s="82" t="s">
        <v>43</v>
      </c>
      <c r="D299" s="83">
        <f>L222</f>
        <v>0</v>
      </c>
      <c r="E299" s="84">
        <f>D299/1000</f>
        <v>0</v>
      </c>
      <c r="F299" s="191" t="str">
        <f>IF(E$303=0,"",E299/E$303)</f>
        <v/>
      </c>
      <c r="I299" s="84">
        <f>S222</f>
        <v>0</v>
      </c>
      <c r="J299" s="84">
        <f>I299/1000</f>
        <v>0</v>
      </c>
      <c r="K299" s="135" t="str">
        <f>IF(D299=0,"",I299/D299)</f>
        <v/>
      </c>
      <c r="M299" s="84">
        <f>Y222</f>
        <v>0</v>
      </c>
      <c r="N299" s="84">
        <f>M299/1000</f>
        <v>0</v>
      </c>
      <c r="O299" s="86" t="str">
        <f>IF($D299=0,"",M299/$D299)</f>
        <v/>
      </c>
      <c r="P299" s="87">
        <f>E299-N299</f>
        <v>0</v>
      </c>
    </row>
    <row r="300" spans="1:16" s="80" customFormat="1">
      <c r="C300" s="82" t="s">
        <v>44</v>
      </c>
      <c r="D300" s="83">
        <f>L239+L251</f>
        <v>0</v>
      </c>
      <c r="E300" s="84">
        <f t="shared" si="106"/>
        <v>0</v>
      </c>
      <c r="F300" s="191" t="str">
        <f>IF(E$303=0,"",E300/E$303)</f>
        <v/>
      </c>
      <c r="I300" s="84">
        <f>S239+S251</f>
        <v>0</v>
      </c>
      <c r="J300" s="84">
        <f>I300/1000</f>
        <v>0</v>
      </c>
      <c r="K300" s="135" t="str">
        <f>IF(D300=0,"",I300/D300)</f>
        <v/>
      </c>
      <c r="M300" s="84">
        <f>Y239+Y251</f>
        <v>0</v>
      </c>
      <c r="N300" s="84">
        <f>M300/1000</f>
        <v>0</v>
      </c>
      <c r="O300" s="86" t="str">
        <f>IF($D300=0,"",M300/$D300)</f>
        <v/>
      </c>
      <c r="P300" s="87">
        <f>E300-N300</f>
        <v>0</v>
      </c>
    </row>
    <row r="301" spans="1:16" s="80" customFormat="1">
      <c r="C301" s="82" t="s">
        <v>45</v>
      </c>
      <c r="D301" s="83">
        <f>L272</f>
        <v>0</v>
      </c>
      <c r="E301" s="84">
        <f t="shared" si="106"/>
        <v>0</v>
      </c>
      <c r="F301" s="191" t="str">
        <f>IF(E$303=0,"",E301/E$303)</f>
        <v/>
      </c>
      <c r="I301" s="84">
        <f>S272</f>
        <v>0</v>
      </c>
      <c r="J301" s="84">
        <f>I301/1000</f>
        <v>0</v>
      </c>
      <c r="K301" s="135" t="str">
        <f>IF(D301=0,"",I301/D301)</f>
        <v/>
      </c>
      <c r="M301" s="84">
        <f>Y272</f>
        <v>0</v>
      </c>
      <c r="N301" s="84">
        <f>M301/1000</f>
        <v>0</v>
      </c>
      <c r="O301" s="86" t="str">
        <f>IF($D301=0,"",M301/$D301)</f>
        <v/>
      </c>
      <c r="P301" s="87">
        <f>E301-N301</f>
        <v>0</v>
      </c>
    </row>
    <row r="302" spans="1:16" s="80" customFormat="1">
      <c r="C302" s="88" t="s">
        <v>46</v>
      </c>
      <c r="D302" s="89">
        <f>K285</f>
        <v>0</v>
      </c>
      <c r="E302" s="84">
        <f t="shared" si="106"/>
        <v>0</v>
      </c>
      <c r="F302" s="191" t="str">
        <f>IF(E$303=0,"",E302/E$303)</f>
        <v/>
      </c>
      <c r="I302" s="84">
        <f>S285</f>
        <v>0</v>
      </c>
      <c r="J302" s="84">
        <f>I302/1000</f>
        <v>0</v>
      </c>
      <c r="K302" s="135" t="str">
        <f>IF(D302=0,"",I302/D302)</f>
        <v/>
      </c>
      <c r="M302" s="84">
        <f>Y285</f>
        <v>0</v>
      </c>
      <c r="N302" s="84">
        <f>M302/1000</f>
        <v>0</v>
      </c>
      <c r="O302" s="86" t="str">
        <f>IF($D302=0,"",M302/$D302)</f>
        <v/>
      </c>
      <c r="P302" s="87">
        <f>E302-N302</f>
        <v>0</v>
      </c>
    </row>
    <row r="303" spans="1:16" s="79" customFormat="1">
      <c r="C303" s="65" t="s">
        <v>12</v>
      </c>
      <c r="D303" s="67">
        <f>SUM(D299:D302)</f>
        <v>0</v>
      </c>
      <c r="E303" s="67">
        <f>SUM(E299:E302)</f>
        <v>0</v>
      </c>
      <c r="F303" s="92">
        <f>SUM(F299:F302)</f>
        <v>0</v>
      </c>
      <c r="H303" s="15"/>
      <c r="I303" s="62">
        <f>SUM(I299:I302)</f>
        <v>0</v>
      </c>
      <c r="J303" s="67">
        <f>SUM(J299:J302)</f>
        <v>0</v>
      </c>
      <c r="K303" s="90" t="str">
        <f>IF(D303=0,"",I303/D303)</f>
        <v/>
      </c>
      <c r="L303" s="15"/>
      <c r="M303" s="62">
        <f>SUM(M299:M302)</f>
        <v>0</v>
      </c>
      <c r="N303" s="62">
        <f>SUM(N299:N302)</f>
        <v>0</v>
      </c>
      <c r="O303" s="92" t="str">
        <f>IF($D303=0,"",M303/$D303)</f>
        <v/>
      </c>
      <c r="P303" s="62">
        <f>SUM(P299:P302)</f>
        <v>0</v>
      </c>
    </row>
    <row r="304" spans="1:16" s="79" customFormat="1">
      <c r="G304" s="107"/>
      <c r="H304" s="107"/>
      <c r="J304" s="15"/>
      <c r="K304" s="76"/>
      <c r="L304" s="91"/>
      <c r="N304" s="107"/>
    </row>
    <row r="305" spans="4:31" s="79" customFormat="1">
      <c r="G305" s="107"/>
      <c r="H305" s="107"/>
      <c r="J305" s="15"/>
      <c r="K305" s="76"/>
      <c r="L305" s="91"/>
      <c r="N305" s="107"/>
    </row>
    <row r="306" spans="4:31" s="79" customFormat="1">
      <c r="G306" s="107"/>
      <c r="H306" s="107"/>
      <c r="J306" s="15"/>
      <c r="K306" s="76"/>
      <c r="L306" s="91"/>
      <c r="N306" s="107"/>
    </row>
    <row r="307" spans="4:31" s="79" customFormat="1">
      <c r="G307" s="107"/>
      <c r="H307" s="107"/>
      <c r="J307" s="15"/>
      <c r="K307" s="76"/>
      <c r="L307" s="91"/>
      <c r="N307" s="107"/>
    </row>
    <row r="308" spans="4:31" s="9" customFormat="1">
      <c r="G308" s="97"/>
      <c r="K308" s="97"/>
      <c r="N308" s="97"/>
    </row>
    <row r="309" spans="4:31" s="9" customFormat="1">
      <c r="G309" s="166"/>
      <c r="K309" s="97"/>
      <c r="N309" s="97"/>
    </row>
    <row r="310" spans="4:31" s="9" customFormat="1">
      <c r="G310" s="97"/>
      <c r="K310" s="97"/>
      <c r="N310" s="97"/>
    </row>
    <row r="311" spans="4:31" s="9" customFormat="1">
      <c r="G311" s="97"/>
      <c r="K311" s="97"/>
      <c r="L311" s="114"/>
      <c r="N311" s="97"/>
    </row>
    <row r="312" spans="4:31" s="9" customFormat="1">
      <c r="D312" s="115"/>
      <c r="G312" s="97"/>
      <c r="K312" s="97"/>
      <c r="N312" s="97"/>
    </row>
    <row r="313" spans="4:31" s="9" customFormat="1">
      <c r="D313" s="115"/>
      <c r="G313" s="97"/>
      <c r="K313" s="97"/>
      <c r="N313" s="97"/>
    </row>
    <row r="314" spans="4:31" s="9" customFormat="1">
      <c r="D314" s="115"/>
      <c r="G314" s="97"/>
      <c r="K314" s="97"/>
      <c r="N314" s="97"/>
    </row>
    <row r="315" spans="4:31" s="9" customFormat="1">
      <c r="D315" s="115"/>
      <c r="G315" s="97"/>
      <c r="K315" s="97"/>
      <c r="N315" s="97"/>
    </row>
    <row r="316" spans="4:31" s="9" customFormat="1">
      <c r="D316" s="115"/>
      <c r="G316" s="97"/>
      <c r="K316" s="97"/>
      <c r="N316" s="97"/>
    </row>
    <row r="317" spans="4:31" s="9" customFormat="1">
      <c r="G317" s="97"/>
      <c r="K317" s="97"/>
      <c r="N317" s="97"/>
    </row>
    <row r="318" spans="4:31" s="9" customFormat="1">
      <c r="G318" s="97"/>
      <c r="K318" s="97"/>
      <c r="N318" s="97"/>
    </row>
    <row r="319" spans="4:31" s="9" customFormat="1">
      <c r="G319" s="97"/>
      <c r="K319" s="97"/>
      <c r="N319" s="97"/>
      <c r="AE319" s="116"/>
    </row>
    <row r="320" spans="4:31" s="9" customFormat="1">
      <c r="G320" s="97"/>
      <c r="K320" s="97"/>
      <c r="N320" s="97"/>
    </row>
    <row r="321" spans="7:25" s="9" customFormat="1">
      <c r="G321" s="97"/>
      <c r="K321" s="97"/>
      <c r="N321" s="97"/>
    </row>
    <row r="322" spans="7:25" s="9" customFormat="1">
      <c r="G322" s="97"/>
      <c r="K322" s="97"/>
      <c r="N322" s="97"/>
    </row>
    <row r="323" spans="7:25" s="9" customFormat="1">
      <c r="G323" s="97"/>
      <c r="K323" s="97"/>
      <c r="N323" s="97"/>
    </row>
    <row r="324" spans="7:25" s="9" customFormat="1">
      <c r="G324" s="97"/>
      <c r="K324" s="97"/>
      <c r="N324" s="97"/>
    </row>
    <row r="325" spans="7:25" s="9" customFormat="1">
      <c r="G325" s="97"/>
      <c r="K325" s="97"/>
      <c r="N325" s="97"/>
    </row>
    <row r="326" spans="7:25" s="9" customFormat="1">
      <c r="G326" s="97"/>
      <c r="K326" s="97"/>
      <c r="N326" s="97"/>
    </row>
    <row r="327" spans="7:25" s="9" customFormat="1">
      <c r="G327" s="97"/>
      <c r="K327" s="97"/>
      <c r="N327" s="97"/>
    </row>
    <row r="328" spans="7:25" s="9" customFormat="1">
      <c r="G328" s="97"/>
      <c r="K328" s="97"/>
      <c r="N328" s="97"/>
    </row>
    <row r="329" spans="7:25" s="9" customFormat="1">
      <c r="G329" s="97"/>
      <c r="K329" s="97"/>
      <c r="N329" s="97"/>
      <c r="Y329" s="116"/>
    </row>
    <row r="330" spans="7:25" s="9" customFormat="1">
      <c r="G330" s="97"/>
      <c r="K330" s="97"/>
      <c r="N330" s="97"/>
    </row>
    <row r="331" spans="7:25" s="9" customFormat="1">
      <c r="G331" s="97"/>
      <c r="K331" s="97"/>
      <c r="N331" s="97"/>
    </row>
    <row r="332" spans="7:25" s="9" customFormat="1">
      <c r="G332" s="97"/>
      <c r="K332" s="97"/>
      <c r="N332" s="97"/>
    </row>
    <row r="333" spans="7:25" s="9" customFormat="1">
      <c r="G333" s="97"/>
      <c r="K333" s="97"/>
      <c r="N333" s="97"/>
    </row>
    <row r="334" spans="7:25" s="9" customFormat="1">
      <c r="G334" s="97"/>
      <c r="K334" s="97"/>
      <c r="N334" s="97"/>
    </row>
    <row r="335" spans="7:25" s="9" customFormat="1">
      <c r="G335" s="97"/>
      <c r="K335" s="97"/>
      <c r="N335" s="97"/>
    </row>
    <row r="336" spans="7:25" s="9" customFormat="1">
      <c r="G336" s="97"/>
      <c r="K336" s="97"/>
      <c r="N336" s="97"/>
    </row>
    <row r="337" spans="3:20" s="9" customFormat="1">
      <c r="G337" s="97"/>
      <c r="K337" s="97"/>
      <c r="N337" s="97"/>
    </row>
    <row r="338" spans="3:20" s="9" customFormat="1">
      <c r="G338" s="97"/>
      <c r="K338" s="97"/>
      <c r="N338" s="97"/>
    </row>
    <row r="339" spans="3:20" s="9" customFormat="1">
      <c r="G339" s="97"/>
      <c r="K339" s="97"/>
      <c r="N339" s="97"/>
    </row>
    <row r="340" spans="3:20" s="9" customFormat="1" ht="12.75" customHeight="1">
      <c r="C340" s="96"/>
      <c r="D340" s="96"/>
      <c r="E340" s="96"/>
      <c r="F340" s="96"/>
      <c r="G340" s="97"/>
      <c r="H340" s="97"/>
      <c r="K340" s="97"/>
      <c r="N340" s="97"/>
    </row>
    <row r="341" spans="3:20" s="14" customFormat="1" ht="23.25">
      <c r="C341" s="684" t="s">
        <v>124</v>
      </c>
      <c r="D341" s="684"/>
      <c r="E341" s="684"/>
      <c r="F341" s="684"/>
      <c r="G341" s="684"/>
      <c r="H341" s="684"/>
      <c r="I341" s="684"/>
      <c r="J341" s="684"/>
      <c r="K341" s="684"/>
      <c r="L341" s="684"/>
      <c r="N341" s="13"/>
    </row>
    <row r="342" spans="3:20" s="9" customFormat="1" ht="12.75" customHeight="1">
      <c r="C342" s="96"/>
      <c r="D342" s="96"/>
      <c r="E342" s="96"/>
      <c r="F342" s="96"/>
      <c r="G342" s="97"/>
      <c r="H342" s="97"/>
      <c r="K342" s="97"/>
      <c r="N342" s="97"/>
    </row>
    <row r="343" spans="3:20" s="14" customFormat="1" ht="12.75" customHeight="1">
      <c r="C343" s="27"/>
      <c r="D343" s="27"/>
      <c r="E343" s="15" t="s">
        <v>367</v>
      </c>
      <c r="F343" s="27"/>
      <c r="G343" s="13"/>
      <c r="H343" s="13"/>
      <c r="K343" s="13"/>
      <c r="N343" s="13"/>
    </row>
    <row r="344" spans="3:20" s="14" customFormat="1" ht="12.75" customHeight="1">
      <c r="C344" s="27"/>
      <c r="D344" s="27"/>
      <c r="E344" s="27"/>
      <c r="F344" s="27"/>
      <c r="G344" s="13"/>
      <c r="K344" s="13"/>
      <c r="N344" s="13"/>
    </row>
    <row r="345" spans="3:20" s="14" customFormat="1">
      <c r="C345" s="359" t="s">
        <v>149</v>
      </c>
      <c r="G345" s="76" t="s">
        <v>358</v>
      </c>
      <c r="I345" s="610" t="s">
        <v>65</v>
      </c>
      <c r="J345" s="610"/>
      <c r="K345" s="610"/>
      <c r="M345" s="610" t="s">
        <v>393</v>
      </c>
      <c r="N345" s="610"/>
      <c r="P345" s="15" t="s">
        <v>115</v>
      </c>
    </row>
    <row r="346" spans="3:20" s="14" customFormat="1">
      <c r="C346" s="432" t="s">
        <v>104</v>
      </c>
      <c r="D346" s="297" t="s">
        <v>395</v>
      </c>
      <c r="E346" s="297" t="s">
        <v>396</v>
      </c>
      <c r="F346"/>
      <c r="G346" s="296" t="s">
        <v>265</v>
      </c>
      <c r="I346" s="297" t="s">
        <v>329</v>
      </c>
      <c r="J346" s="297" t="s">
        <v>330</v>
      </c>
      <c r="K346" s="296" t="s">
        <v>265</v>
      </c>
      <c r="M346" s="297" t="s">
        <v>331</v>
      </c>
      <c r="N346" s="296" t="s">
        <v>265</v>
      </c>
      <c r="P346" s="666" t="s">
        <v>167</v>
      </c>
      <c r="Q346" s="667"/>
      <c r="R346" s="667"/>
      <c r="S346" s="667"/>
      <c r="T346" s="668"/>
    </row>
    <row r="347" spans="3:20" s="14" customFormat="1">
      <c r="C347" s="17" t="s">
        <v>171</v>
      </c>
      <c r="D347" s="310"/>
      <c r="E347" s="433">
        <f>_xlfn.IFNA(VLOOKUP($C347,'Facteurs d''émission'!$D$2:$I$344,2,FALSE),"Non renseigné")</f>
        <v>3190</v>
      </c>
      <c r="F347"/>
      <c r="G347" s="5">
        <f t="shared" ref="G347:G357" si="107">D347*E347*(1+F347)</f>
        <v>0</v>
      </c>
      <c r="I347" s="400">
        <f>_xlfn.IFNA(VLOOKUP($C347,'Facteurs d''émission'!$D$2:$I$344,4,FALSE),"Non présent dans la base")</f>
        <v>0.1</v>
      </c>
      <c r="J347" s="290">
        <v>0.01</v>
      </c>
      <c r="K347" s="26">
        <f t="shared" ref="K347:K357" si="108">G347*(1-(1-I347)*(1-J347))</f>
        <v>0</v>
      </c>
      <c r="L347" s="14" t="str">
        <f>IF(D347*COUNTA(J347)&gt;0,"ok","")</f>
        <v/>
      </c>
      <c r="M347" s="291"/>
      <c r="N347" s="104">
        <f t="shared" ref="N347:N357" si="109">G347*M347</f>
        <v>0</v>
      </c>
      <c r="P347" s="669"/>
      <c r="Q347" s="670"/>
      <c r="R347" s="670"/>
      <c r="S347" s="670"/>
      <c r="T347" s="671"/>
    </row>
    <row r="348" spans="3:20" s="14" customFormat="1">
      <c r="C348" s="17" t="s">
        <v>172</v>
      </c>
      <c r="D348" s="310"/>
      <c r="E348" s="433">
        <f>_xlfn.IFNA(VLOOKUP($C348,'Facteurs d''émission'!$D$2:$I$344,2,FALSE),"Non renseigné")</f>
        <v>1100</v>
      </c>
      <c r="F348"/>
      <c r="G348" s="5">
        <f t="shared" si="107"/>
        <v>0</v>
      </c>
      <c r="I348" s="400">
        <f>_xlfn.IFNA(VLOOKUP($C348,'Facteurs d''émission'!$D$2:$I$344,4,FALSE),"Non présent dans la base")</f>
        <v>0.1</v>
      </c>
      <c r="J348" s="290"/>
      <c r="K348" s="26">
        <f t="shared" si="108"/>
        <v>0</v>
      </c>
      <c r="L348" s="14" t="str">
        <f t="shared" ref="L348:L357" si="110">IF(D348*COUNTA(J348)&gt;0,"ok","")</f>
        <v/>
      </c>
      <c r="M348" s="291"/>
      <c r="N348" s="104">
        <f t="shared" si="109"/>
        <v>0</v>
      </c>
      <c r="P348" s="672"/>
      <c r="Q348" s="673"/>
      <c r="R348" s="673"/>
      <c r="S348" s="673"/>
      <c r="T348" s="674"/>
    </row>
    <row r="349" spans="3:20" s="14" customFormat="1">
      <c r="C349" s="17" t="s">
        <v>173</v>
      </c>
      <c r="D349" s="310"/>
      <c r="E349" s="433">
        <f>_xlfn.IFNA(VLOOKUP($C349,'Facteurs d''émission'!$D$2:$I$344,2,FALSE),"Non renseigné")</f>
        <v>9827</v>
      </c>
      <c r="F349"/>
      <c r="G349" s="5">
        <f t="shared" si="107"/>
        <v>0</v>
      </c>
      <c r="I349" s="400">
        <f>_xlfn.IFNA(VLOOKUP($C349,'Facteurs d''émission'!$D$2:$I$344,4,FALSE),"Non présent dans la base")</f>
        <v>0.3</v>
      </c>
      <c r="J349" s="290">
        <v>0.01</v>
      </c>
      <c r="K349" s="26">
        <f t="shared" si="108"/>
        <v>0</v>
      </c>
      <c r="L349" s="14" t="str">
        <f t="shared" si="110"/>
        <v/>
      </c>
      <c r="M349" s="291">
        <v>0.3</v>
      </c>
      <c r="N349" s="104">
        <f t="shared" si="109"/>
        <v>0</v>
      </c>
      <c r="P349" s="672"/>
      <c r="Q349" s="673"/>
      <c r="R349" s="673"/>
      <c r="S349" s="673"/>
      <c r="T349" s="674"/>
    </row>
    <row r="350" spans="3:20" s="14" customFormat="1">
      <c r="C350" s="17" t="s">
        <v>174</v>
      </c>
      <c r="D350" s="310"/>
      <c r="E350" s="433">
        <f>_xlfn.IFNA(VLOOKUP($C350,'Facteurs d''émission'!$D$2:$I$344,2,FALSE),"Non renseigné")</f>
        <v>513</v>
      </c>
      <c r="F350"/>
      <c r="G350" s="5">
        <f t="shared" si="107"/>
        <v>0</v>
      </c>
      <c r="I350" s="400">
        <f>_xlfn.IFNA(VLOOKUP($C350,'Facteurs d''émission'!$D$2:$I$344,4,FALSE),"Non présent dans la base")</f>
        <v>0.3</v>
      </c>
      <c r="J350" s="290"/>
      <c r="K350" s="26">
        <f t="shared" si="108"/>
        <v>0</v>
      </c>
      <c r="L350" s="14" t="str">
        <f t="shared" si="110"/>
        <v/>
      </c>
      <c r="M350" s="291"/>
      <c r="N350" s="104">
        <f t="shared" si="109"/>
        <v>0</v>
      </c>
      <c r="P350" s="672"/>
      <c r="Q350" s="673"/>
      <c r="R350" s="673"/>
      <c r="S350" s="673"/>
      <c r="T350" s="674"/>
    </row>
    <row r="351" spans="3:20" s="14" customFormat="1">
      <c r="C351" s="17" t="s">
        <v>208</v>
      </c>
      <c r="D351" s="310"/>
      <c r="E351" s="433">
        <f>_xlfn.IFNA(VLOOKUP($C351,'Facteurs d''émission'!$D$2:$I$344,2,FALSE),"Non renseigné")</f>
        <v>2933</v>
      </c>
      <c r="F351"/>
      <c r="G351" s="5">
        <f t="shared" si="107"/>
        <v>0</v>
      </c>
      <c r="I351" s="400">
        <f>_xlfn.IFNA(VLOOKUP($C351,'Facteurs d''émission'!$D$2:$I$344,4,FALSE),"Non présent dans la base")</f>
        <v>0.5</v>
      </c>
      <c r="J351" s="290"/>
      <c r="K351" s="26">
        <f t="shared" si="108"/>
        <v>0</v>
      </c>
      <c r="L351" s="14" t="str">
        <f t="shared" si="110"/>
        <v/>
      </c>
      <c r="M351" s="291"/>
      <c r="N351" s="104">
        <f t="shared" si="109"/>
        <v>0</v>
      </c>
      <c r="P351" s="672"/>
      <c r="Q351" s="673"/>
      <c r="R351" s="673"/>
      <c r="S351" s="673"/>
      <c r="T351" s="674"/>
    </row>
    <row r="352" spans="3:20" s="14" customFormat="1">
      <c r="C352" s="17" t="s">
        <v>175</v>
      </c>
      <c r="D352" s="310"/>
      <c r="E352" s="433">
        <f>_xlfn.IFNA(VLOOKUP($C352,'Facteurs d''émission'!$D$2:$I$344,2,FALSE),"Non renseigné")</f>
        <v>2933</v>
      </c>
      <c r="F352"/>
      <c r="G352" s="5">
        <f t="shared" si="107"/>
        <v>0</v>
      </c>
      <c r="I352" s="400">
        <f>_xlfn.IFNA(VLOOKUP($C352,'Facteurs d''émission'!$D$2:$I$344,4,FALSE),"Non présent dans la base")</f>
        <v>0.3</v>
      </c>
      <c r="J352" s="290">
        <v>0.01</v>
      </c>
      <c r="K352" s="26">
        <f t="shared" si="108"/>
        <v>0</v>
      </c>
      <c r="L352" s="14" t="str">
        <f t="shared" si="110"/>
        <v/>
      </c>
      <c r="M352" s="291"/>
      <c r="N352" s="104">
        <f t="shared" si="109"/>
        <v>0</v>
      </c>
      <c r="P352" s="672"/>
      <c r="Q352" s="673"/>
      <c r="R352" s="673"/>
      <c r="S352" s="673"/>
      <c r="T352" s="674"/>
    </row>
    <row r="353" spans="3:20" s="14" customFormat="1">
      <c r="C353" s="17" t="s">
        <v>176</v>
      </c>
      <c r="D353" s="310"/>
      <c r="E353" s="433">
        <f>_xlfn.IFNA(VLOOKUP($C353,'Facteurs d''émission'!$D$2:$I$344,2,FALSE),"Non renseigné")</f>
        <v>9167</v>
      </c>
      <c r="F353"/>
      <c r="G353" s="5">
        <f t="shared" si="107"/>
        <v>0</v>
      </c>
      <c r="I353" s="400">
        <f>_xlfn.IFNA(VLOOKUP($C353,'Facteurs d''émission'!$D$2:$I$344,4,FALSE),"Non présent dans la base")</f>
        <v>0.2</v>
      </c>
      <c r="J353" s="290"/>
      <c r="K353" s="26">
        <f t="shared" si="108"/>
        <v>0</v>
      </c>
      <c r="L353" s="14" t="str">
        <f t="shared" si="110"/>
        <v/>
      </c>
      <c r="M353" s="291"/>
      <c r="N353" s="104">
        <f t="shared" si="109"/>
        <v>0</v>
      </c>
      <c r="P353" s="672"/>
      <c r="Q353" s="673"/>
      <c r="R353" s="673"/>
      <c r="S353" s="673"/>
      <c r="T353" s="674"/>
    </row>
    <row r="354" spans="3:20" s="14" customFormat="1">
      <c r="C354" s="17" t="s">
        <v>177</v>
      </c>
      <c r="D354" s="310"/>
      <c r="E354" s="433">
        <f>_xlfn.IFNA(VLOOKUP($C354,'Facteurs d''émission'!$D$2:$I$344,2,FALSE),"Non renseigné")</f>
        <v>2090</v>
      </c>
      <c r="F354"/>
      <c r="G354" s="5">
        <f t="shared" si="107"/>
        <v>0</v>
      </c>
      <c r="I354" s="400">
        <f>_xlfn.IFNA(VLOOKUP($C354,'Facteurs d''émission'!$D$2:$I$344,4,FALSE),"Non présent dans la base")</f>
        <v>0.3</v>
      </c>
      <c r="J354" s="290"/>
      <c r="K354" s="26">
        <f t="shared" si="108"/>
        <v>0</v>
      </c>
      <c r="L354" s="14" t="str">
        <f t="shared" si="110"/>
        <v/>
      </c>
      <c r="M354" s="291"/>
      <c r="N354" s="104">
        <f t="shared" si="109"/>
        <v>0</v>
      </c>
      <c r="P354" s="672"/>
      <c r="Q354" s="673"/>
      <c r="R354" s="673"/>
      <c r="S354" s="673"/>
      <c r="T354" s="674"/>
    </row>
    <row r="355" spans="3:20" s="14" customFormat="1">
      <c r="C355" s="17" t="s">
        <v>357</v>
      </c>
      <c r="D355" s="310"/>
      <c r="E355" s="433">
        <f>_xlfn.IFNA(VLOOKUP($C355,'Facteurs d''émission'!$D$2:$I$344,2,FALSE),"Non renseigné")</f>
        <v>0</v>
      </c>
      <c r="F355"/>
      <c r="G355" s="5">
        <f t="shared" si="107"/>
        <v>0</v>
      </c>
      <c r="I355" s="400">
        <f>_xlfn.IFNA(VLOOKUP($C355,'Facteurs d''émission'!$D$2:$I$344,4,FALSE),"Non présent dans la base")</f>
        <v>0</v>
      </c>
      <c r="J355" s="290"/>
      <c r="K355" s="26">
        <f t="shared" si="108"/>
        <v>0</v>
      </c>
      <c r="L355" s="14" t="str">
        <f t="shared" si="110"/>
        <v/>
      </c>
      <c r="M355" s="291"/>
      <c r="N355" s="104">
        <f t="shared" si="109"/>
        <v>0</v>
      </c>
      <c r="P355" s="672"/>
      <c r="Q355" s="673"/>
      <c r="R355" s="673"/>
      <c r="S355" s="673"/>
      <c r="T355" s="674"/>
    </row>
    <row r="356" spans="3:20" s="14" customFormat="1">
      <c r="C356" s="17" t="s">
        <v>357</v>
      </c>
      <c r="D356" s="310"/>
      <c r="E356" s="433">
        <f>_xlfn.IFNA(VLOOKUP($C356,'Facteurs d''émission'!$D$2:$I$344,2,FALSE),"Non renseigné")</f>
        <v>0</v>
      </c>
      <c r="F356"/>
      <c r="G356" s="5">
        <f t="shared" si="107"/>
        <v>0</v>
      </c>
      <c r="I356" s="400">
        <f>_xlfn.IFNA(VLOOKUP($C356,'Facteurs d''émission'!$D$2:$I$344,4,FALSE),"Non présent dans la base")</f>
        <v>0</v>
      </c>
      <c r="J356" s="290"/>
      <c r="K356" s="26">
        <f t="shared" si="108"/>
        <v>0</v>
      </c>
      <c r="L356" s="14" t="str">
        <f t="shared" si="110"/>
        <v/>
      </c>
      <c r="M356" s="291"/>
      <c r="N356" s="104">
        <f t="shared" si="109"/>
        <v>0</v>
      </c>
      <c r="P356" s="672"/>
      <c r="Q356" s="673"/>
      <c r="R356" s="673"/>
      <c r="S356" s="673"/>
      <c r="T356" s="674"/>
    </row>
    <row r="357" spans="3:20" s="14" customFormat="1">
      <c r="C357" s="17" t="s">
        <v>357</v>
      </c>
      <c r="D357" s="310"/>
      <c r="E357" s="433">
        <f>_xlfn.IFNA(VLOOKUP($C357,'Facteurs d''émission'!$D$2:$I$344,2,FALSE),"Non renseigné")</f>
        <v>0</v>
      </c>
      <c r="F357"/>
      <c r="G357" s="5">
        <f t="shared" si="107"/>
        <v>0</v>
      </c>
      <c r="I357" s="400">
        <f>_xlfn.IFNA(VLOOKUP($C357,'Facteurs d''émission'!$D$2:$I$344,4,FALSE),"Non présent dans la base")</f>
        <v>0</v>
      </c>
      <c r="J357" s="290"/>
      <c r="K357" s="26">
        <f t="shared" si="108"/>
        <v>0</v>
      </c>
      <c r="L357" s="14" t="str">
        <f t="shared" si="110"/>
        <v/>
      </c>
      <c r="M357" s="291"/>
      <c r="N357" s="104">
        <f t="shared" si="109"/>
        <v>0</v>
      </c>
      <c r="P357" s="675"/>
      <c r="Q357" s="676"/>
      <c r="R357" s="676"/>
      <c r="S357" s="676"/>
      <c r="T357" s="677"/>
    </row>
    <row r="358" spans="3:20" s="14" customFormat="1">
      <c r="C358" s="372" t="s">
        <v>26</v>
      </c>
      <c r="D358" s="600">
        <f>SUM(D347:D357)</f>
        <v>0</v>
      </c>
      <c r="E358" s="17"/>
      <c r="F358"/>
      <c r="G358" s="62">
        <f>SUM(G347:G357)</f>
        <v>0</v>
      </c>
      <c r="I358" s="627" t="str">
        <f>IF(COUNTA(D347:D357)&gt;COUNTIF(L347:L357,"ok"),"! Remplir une incertitude !","")</f>
        <v/>
      </c>
      <c r="J358" s="686"/>
      <c r="K358" s="67">
        <f>SUM(K347:K357)</f>
        <v>0</v>
      </c>
      <c r="M358" s="68"/>
      <c r="N358" s="67">
        <f>SUM(N347:N357)</f>
        <v>0</v>
      </c>
      <c r="P358" s="652" t="str">
        <f>IF(N358&gt;0,IF(#REF!="","Attention: vous devez planifier une action afin de remplir votre objectif",""),"")</f>
        <v/>
      </c>
      <c r="Q358" s="653"/>
      <c r="R358" s="653"/>
      <c r="S358" s="653"/>
      <c r="T358" s="654"/>
    </row>
    <row r="359" spans="3:20" s="14" customFormat="1" ht="24.4" customHeight="1">
      <c r="C359" s="15"/>
      <c r="G359" s="76"/>
      <c r="K359" s="76"/>
      <c r="N359" s="76"/>
      <c r="P359" s="11"/>
      <c r="Q359" s="11"/>
      <c r="R359" s="11"/>
      <c r="S359" s="11"/>
      <c r="T359" s="11"/>
    </row>
    <row r="360" spans="3:20" s="14" customFormat="1">
      <c r="C360" s="15"/>
      <c r="E360" s="15" t="s">
        <v>368</v>
      </c>
      <c r="G360" s="76"/>
      <c r="K360" s="76"/>
      <c r="N360" s="76"/>
      <c r="P360" s="11"/>
      <c r="Q360" s="11"/>
      <c r="R360" s="11"/>
      <c r="S360" s="11"/>
      <c r="T360" s="11"/>
    </row>
    <row r="361" spans="3:20" s="14" customFormat="1">
      <c r="G361" s="13"/>
      <c r="J361" s="137"/>
      <c r="K361" s="13"/>
      <c r="N361" s="13"/>
    </row>
    <row r="362" spans="3:20" s="14" customFormat="1">
      <c r="C362" s="359" t="s">
        <v>151</v>
      </c>
      <c r="G362" s="76" t="s">
        <v>358</v>
      </c>
      <c r="I362" s="610" t="s">
        <v>65</v>
      </c>
      <c r="J362" s="610"/>
      <c r="K362" s="610"/>
      <c r="M362" s="610" t="s">
        <v>393</v>
      </c>
      <c r="N362" s="610"/>
      <c r="P362" s="15" t="s">
        <v>115</v>
      </c>
    </row>
    <row r="363" spans="3:20" s="14" customFormat="1">
      <c r="C363" s="297" t="s">
        <v>105</v>
      </c>
      <c r="D363" s="297" t="s">
        <v>395</v>
      </c>
      <c r="E363" s="297" t="s">
        <v>396</v>
      </c>
      <c r="F363"/>
      <c r="G363" s="296" t="s">
        <v>265</v>
      </c>
      <c r="I363" s="297" t="s">
        <v>329</v>
      </c>
      <c r="J363" s="297" t="s">
        <v>330</v>
      </c>
      <c r="K363" s="296" t="s">
        <v>265</v>
      </c>
      <c r="M363" s="297" t="s">
        <v>331</v>
      </c>
      <c r="N363" s="296" t="s">
        <v>265</v>
      </c>
      <c r="P363" s="666" t="s">
        <v>167</v>
      </c>
      <c r="Q363" s="667"/>
      <c r="R363" s="667"/>
      <c r="S363" s="667"/>
      <c r="T363" s="668"/>
    </row>
    <row r="364" spans="3:20" s="14" customFormat="1">
      <c r="C364" s="49" t="s">
        <v>209</v>
      </c>
      <c r="D364" s="438"/>
      <c r="E364" s="433">
        <f>_xlfn.IFNA(VLOOKUP($C364,'Facteurs d''émission'!$D$2:$I$344,2,FALSE),"Non renseigné")</f>
        <v>2383</v>
      </c>
      <c r="F364"/>
      <c r="G364" s="5">
        <f>D364*E364*(1+F364)</f>
        <v>0</v>
      </c>
      <c r="I364" s="400">
        <f>_xlfn.IFNA(VLOOKUP($C364,'Facteurs d''émission'!$D$2:$I$344,4,FALSE),"Non présent dans la base")</f>
        <v>0.2</v>
      </c>
      <c r="J364" s="301"/>
      <c r="K364" s="439">
        <f>G364*(1-(1-I364)*(1-J364))</f>
        <v>0</v>
      </c>
      <c r="L364" s="14" t="str">
        <f>IF(D364*COUNTA(J364)&gt;0,"ok","")</f>
        <v/>
      </c>
      <c r="M364" s="301"/>
      <c r="N364" s="106">
        <f>G364*M364</f>
        <v>0</v>
      </c>
      <c r="P364" s="669"/>
      <c r="Q364" s="670"/>
      <c r="R364" s="670"/>
      <c r="S364" s="670"/>
      <c r="T364" s="671"/>
    </row>
    <row r="365" spans="3:20" s="14" customFormat="1">
      <c r="C365" s="49" t="s">
        <v>357</v>
      </c>
      <c r="D365" s="438"/>
      <c r="E365" s="433">
        <f>_xlfn.IFNA(VLOOKUP($C365,'Facteurs d''émission'!$D$2:$I$344,2,FALSE),"Non renseigné")</f>
        <v>0</v>
      </c>
      <c r="F365"/>
      <c r="G365" s="5">
        <f>D365*E365*(1+F365)</f>
        <v>0</v>
      </c>
      <c r="I365" s="400">
        <f>_xlfn.IFNA(VLOOKUP($C365,'Facteurs d''émission'!$D$2:$I$344,4,FALSE),"Non présent dans la base")</f>
        <v>0</v>
      </c>
      <c r="J365" s="301"/>
      <c r="K365" s="439">
        <f>G365*(1-(1-I365)*(1-J365))</f>
        <v>0</v>
      </c>
      <c r="L365" s="14" t="str">
        <f>IF(D365*COUNTA(J365)&gt;0,"ok","")</f>
        <v/>
      </c>
      <c r="M365" s="301"/>
      <c r="N365" s="106">
        <f>G365*M365</f>
        <v>0</v>
      </c>
      <c r="P365" s="672"/>
      <c r="Q365" s="673"/>
      <c r="R365" s="673"/>
      <c r="S365" s="673"/>
      <c r="T365" s="674"/>
    </row>
    <row r="366" spans="3:20" s="14" customFormat="1">
      <c r="C366" s="49" t="s">
        <v>357</v>
      </c>
      <c r="D366" s="438"/>
      <c r="E366" s="433">
        <f>_xlfn.IFNA(VLOOKUP($C366,'Facteurs d''émission'!$D$2:$I$344,2,FALSE),"Non renseigné")</f>
        <v>0</v>
      </c>
      <c r="F366"/>
      <c r="G366" s="5">
        <f>D366*E366*(1+F366)</f>
        <v>0</v>
      </c>
      <c r="I366" s="400">
        <f>_xlfn.IFNA(VLOOKUP($C366,'Facteurs d''émission'!$D$2:$I$344,4,FALSE),"Non présent dans la base")</f>
        <v>0</v>
      </c>
      <c r="J366" s="301"/>
      <c r="K366" s="439">
        <f>G366*(1-(1-I366)*(1-J366))</f>
        <v>0</v>
      </c>
      <c r="L366" s="14" t="str">
        <f>IF(D366*COUNTA(J366)&gt;0,"ok","")</f>
        <v/>
      </c>
      <c r="M366" s="301"/>
      <c r="N366" s="106">
        <f>G366*M366</f>
        <v>0</v>
      </c>
      <c r="P366" s="672"/>
      <c r="Q366" s="673"/>
      <c r="R366" s="673"/>
      <c r="S366" s="673"/>
      <c r="T366" s="674"/>
    </row>
    <row r="367" spans="3:20" s="14" customFormat="1">
      <c r="C367" s="49" t="s">
        <v>357</v>
      </c>
      <c r="D367" s="438"/>
      <c r="E367" s="433">
        <f>_xlfn.IFNA(VLOOKUP($C367,'Facteurs d''émission'!$D$2:$I$344,2,FALSE),"Non renseigné")</f>
        <v>0</v>
      </c>
      <c r="F367"/>
      <c r="G367" s="5">
        <f>D367*E367*(1+F367)</f>
        <v>0</v>
      </c>
      <c r="I367" s="400">
        <f>_xlfn.IFNA(VLOOKUP($C367,'Facteurs d''émission'!$D$2:$I$344,4,FALSE),"Non présent dans la base")</f>
        <v>0</v>
      </c>
      <c r="J367" s="301"/>
      <c r="K367" s="439">
        <f>G367*(1-(1-I367)*(1-J367))</f>
        <v>0</v>
      </c>
      <c r="L367" s="14" t="str">
        <f>IF(D367*COUNTA(J367)&gt;0,"ok","")</f>
        <v/>
      </c>
      <c r="M367" s="301"/>
      <c r="N367" s="106">
        <f>G367*M367</f>
        <v>0</v>
      </c>
      <c r="P367" s="672"/>
      <c r="Q367" s="673"/>
      <c r="R367" s="673"/>
      <c r="S367" s="673"/>
      <c r="T367" s="674"/>
    </row>
    <row r="368" spans="3:20" s="14" customFormat="1">
      <c r="C368" s="49" t="s">
        <v>357</v>
      </c>
      <c r="D368" s="434"/>
      <c r="E368" s="433">
        <f>_xlfn.IFNA(VLOOKUP($C368,'Facteurs d''émission'!$D$2:$I$344,2,FALSE),"Non renseigné")</f>
        <v>0</v>
      </c>
      <c r="F368"/>
      <c r="G368" s="5">
        <f>D368*E368*(1+F368)</f>
        <v>0</v>
      </c>
      <c r="I368" s="400">
        <f>_xlfn.IFNA(VLOOKUP($C368,'Facteurs d''émission'!$D$2:$I$344,4,FALSE),"Non présent dans la base")</f>
        <v>0</v>
      </c>
      <c r="J368" s="301"/>
      <c r="K368" s="439">
        <f>G368*(1-(1-I368)*(1-J368))</f>
        <v>0</v>
      </c>
      <c r="L368" s="14" t="str">
        <f>IF(D368*COUNTA(J368)&gt;0,"ok","")</f>
        <v/>
      </c>
      <c r="M368" s="301"/>
      <c r="N368" s="106">
        <f>G368*M368</f>
        <v>0</v>
      </c>
      <c r="P368" s="675"/>
      <c r="Q368" s="676"/>
      <c r="R368" s="676"/>
      <c r="S368" s="676"/>
      <c r="T368" s="677"/>
    </row>
    <row r="369" spans="3:20" s="14" customFormat="1">
      <c r="C369" s="372" t="s">
        <v>26</v>
      </c>
      <c r="D369" s="600">
        <f>SUM(D364:D368)</f>
        <v>0</v>
      </c>
      <c r="E369" s="17"/>
      <c r="F369"/>
      <c r="G369" s="62">
        <f>SUM(G364:G368)</f>
        <v>0</v>
      </c>
      <c r="I369" s="627" t="str">
        <f>IF(COUNTA(D368)&gt;COUNTIF(L368,"ok"),"! Remplir une incertitude !","")</f>
        <v/>
      </c>
      <c r="J369" s="686"/>
      <c r="K369" s="67">
        <f>SUM(K364:K368)</f>
        <v>0</v>
      </c>
      <c r="M369" s="102"/>
      <c r="N369" s="67">
        <f>SUM(N364:N368)</f>
        <v>0</v>
      </c>
      <c r="P369" s="652" t="str">
        <f>IF(N369&gt;0,IF(#REF!="","Attention: vous devez planifier une action afin de remplir votre objectif",""),"")</f>
        <v/>
      </c>
      <c r="Q369" s="653"/>
      <c r="R369" s="653"/>
      <c r="S369" s="653"/>
      <c r="T369" s="654"/>
    </row>
    <row r="370" spans="3:20" s="14" customFormat="1" ht="26.85" customHeight="1">
      <c r="F370"/>
      <c r="G370" s="13"/>
      <c r="K370" s="13"/>
      <c r="N370" s="13"/>
    </row>
    <row r="371" spans="3:20" s="14" customFormat="1">
      <c r="E371" s="15" t="s">
        <v>370</v>
      </c>
      <c r="F371"/>
      <c r="G371" s="13"/>
      <c r="K371" s="13"/>
      <c r="N371" s="13"/>
    </row>
    <row r="372" spans="3:20" s="14" customFormat="1">
      <c r="F372"/>
      <c r="G372" s="13"/>
      <c r="K372" s="13"/>
      <c r="N372" s="13"/>
    </row>
    <row r="373" spans="3:20" s="14" customFormat="1">
      <c r="C373" s="359" t="s">
        <v>150</v>
      </c>
      <c r="F373"/>
      <c r="G373" s="76" t="s">
        <v>358</v>
      </c>
      <c r="I373" s="610" t="s">
        <v>65</v>
      </c>
      <c r="J373" s="610"/>
      <c r="K373" s="610"/>
      <c r="M373" s="610" t="s">
        <v>393</v>
      </c>
      <c r="N373" s="610"/>
      <c r="P373" s="15" t="s">
        <v>115</v>
      </c>
    </row>
    <row r="374" spans="3:20" s="14" customFormat="1">
      <c r="C374" s="297" t="s">
        <v>106</v>
      </c>
      <c r="D374" s="297" t="s">
        <v>395</v>
      </c>
      <c r="E374" s="297" t="s">
        <v>396</v>
      </c>
      <c r="F374"/>
      <c r="G374" s="296" t="s">
        <v>265</v>
      </c>
      <c r="I374" s="297" t="s">
        <v>329</v>
      </c>
      <c r="J374" s="297" t="s">
        <v>330</v>
      </c>
      <c r="K374" s="296" t="s">
        <v>265</v>
      </c>
      <c r="M374" s="297" t="s">
        <v>331</v>
      </c>
      <c r="N374" s="296" t="s">
        <v>265</v>
      </c>
      <c r="P374" s="666" t="s">
        <v>167</v>
      </c>
      <c r="Q374" s="667"/>
      <c r="R374" s="667"/>
      <c r="S374" s="667"/>
      <c r="T374" s="668"/>
    </row>
    <row r="375" spans="3:20" s="14" customFormat="1" ht="11.65" customHeight="1">
      <c r="C375" s="53" t="s">
        <v>210</v>
      </c>
      <c r="D375" s="435"/>
      <c r="E375" s="436">
        <f>_xlfn.IFNA(VLOOKUP($C375,'Facteurs d''émission'!$D$2:$I$344,2,FALSE),"Non renseigné")</f>
        <v>813</v>
      </c>
      <c r="F375"/>
      <c r="G375" s="5">
        <f>D375*E375*(1+F375)</f>
        <v>0</v>
      </c>
      <c r="I375" s="400">
        <f>_xlfn.IFNA(VLOOKUP($C375,'Facteurs d''émission'!$D$2:$I$344,4,FALSE),"Non présent dans la base")</f>
        <v>1</v>
      </c>
      <c r="J375" s="293"/>
      <c r="K375" s="26">
        <f t="shared" ref="K375:K380" si="111">G375*(1-(1-I375)*(1-J375))</f>
        <v>0</v>
      </c>
      <c r="L375" s="14" t="str">
        <f t="shared" ref="L375:L380" si="112">IF(D375*COUNTA(J375)&gt;0,"ok","")</f>
        <v/>
      </c>
      <c r="M375" s="253"/>
      <c r="N375" s="171"/>
      <c r="P375" s="669" t="s">
        <v>318</v>
      </c>
      <c r="Q375" s="670"/>
      <c r="R375" s="670"/>
      <c r="S375" s="670"/>
      <c r="T375" s="671"/>
    </row>
    <row r="376" spans="3:20" s="14" customFormat="1">
      <c r="C376" s="53" t="s">
        <v>210</v>
      </c>
      <c r="D376" s="435"/>
      <c r="E376" s="436">
        <f>_xlfn.IFNA(VLOOKUP($C376,'Facteurs d''émission'!$D$2:$I$344,2,FALSE),"Non renseigné")</f>
        <v>813</v>
      </c>
      <c r="F376"/>
      <c r="G376" s="5">
        <f>D376*E376*(1+F376)</f>
        <v>0</v>
      </c>
      <c r="I376" s="400">
        <f>_xlfn.IFNA(VLOOKUP($C376,'Facteurs d''émission'!$D$2:$I$344,4,FALSE),"Non présent dans la base")</f>
        <v>1</v>
      </c>
      <c r="J376" s="293"/>
      <c r="K376" s="26">
        <f t="shared" si="111"/>
        <v>0</v>
      </c>
      <c r="L376" s="14" t="str">
        <f t="shared" si="112"/>
        <v/>
      </c>
      <c r="M376" s="293"/>
      <c r="N376" s="106">
        <f>G376*M376</f>
        <v>0</v>
      </c>
      <c r="P376" s="672"/>
      <c r="Q376" s="673"/>
      <c r="R376" s="673"/>
      <c r="S376" s="673"/>
      <c r="T376" s="674"/>
    </row>
    <row r="377" spans="3:20" s="14" customFormat="1">
      <c r="C377" s="53" t="s">
        <v>357</v>
      </c>
      <c r="D377" s="435"/>
      <c r="E377" s="436">
        <f>_xlfn.IFNA(VLOOKUP($C377,'Facteurs d''émission'!$D$2:$I$344,2,FALSE),"Non renseigné")</f>
        <v>0</v>
      </c>
      <c r="F377"/>
      <c r="G377" s="5">
        <f>D377*E377*(1+F377)</f>
        <v>0</v>
      </c>
      <c r="I377" s="400">
        <f>_xlfn.IFNA(VLOOKUP($C377,'Facteurs d''émission'!$D$2:$I$344,4,FALSE),"Non présent dans la base")</f>
        <v>0</v>
      </c>
      <c r="J377" s="293"/>
      <c r="K377" s="26">
        <f t="shared" si="111"/>
        <v>0</v>
      </c>
      <c r="L377" s="14" t="str">
        <f t="shared" si="112"/>
        <v/>
      </c>
      <c r="M377" s="293"/>
      <c r="N377" s="106">
        <f>G377*M377</f>
        <v>0</v>
      </c>
      <c r="P377" s="672"/>
      <c r="Q377" s="673"/>
      <c r="R377" s="673"/>
      <c r="S377" s="673"/>
      <c r="T377" s="674"/>
    </row>
    <row r="378" spans="3:20" s="14" customFormat="1">
      <c r="C378" s="53" t="s">
        <v>357</v>
      </c>
      <c r="D378" s="435"/>
      <c r="E378" s="436">
        <f>_xlfn.IFNA(VLOOKUP($C378,'Facteurs d''émission'!$D$2:$I$344,2,FALSE),"Non renseigné")</f>
        <v>0</v>
      </c>
      <c r="F378"/>
      <c r="G378" s="5">
        <f>D378*E378*(1+F378)</f>
        <v>0</v>
      </c>
      <c r="I378" s="400">
        <f>_xlfn.IFNA(VLOOKUP($C378,'Facteurs d''émission'!$D$2:$I$344,4,FALSE),"Non présent dans la base")</f>
        <v>0</v>
      </c>
      <c r="J378" s="293"/>
      <c r="K378" s="26">
        <f t="shared" si="111"/>
        <v>0</v>
      </c>
      <c r="L378" s="14" t="str">
        <f t="shared" si="112"/>
        <v/>
      </c>
      <c r="M378" s="293"/>
      <c r="N378" s="106">
        <f>G378*M378</f>
        <v>0</v>
      </c>
      <c r="P378" s="672"/>
      <c r="Q378" s="673"/>
      <c r="R378" s="673"/>
      <c r="S378" s="673"/>
      <c r="T378" s="674"/>
    </row>
    <row r="379" spans="3:20" s="14" customFormat="1">
      <c r="C379" s="53" t="s">
        <v>357</v>
      </c>
      <c r="D379" s="435"/>
      <c r="E379" s="436">
        <f>_xlfn.IFNA(VLOOKUP($C379,'Facteurs d''émission'!$D$2:$I$344,2,FALSE),"Non renseigné")</f>
        <v>0</v>
      </c>
      <c r="F379"/>
      <c r="G379" s="5">
        <f>D379*E379*(1+F379)</f>
        <v>0</v>
      </c>
      <c r="I379" s="400">
        <f>_xlfn.IFNA(VLOOKUP($C379,'Facteurs d''émission'!$D$2:$I$344,4,FALSE),"Non présent dans la base")</f>
        <v>0</v>
      </c>
      <c r="J379" s="293"/>
      <c r="K379" s="26">
        <f t="shared" si="111"/>
        <v>0</v>
      </c>
      <c r="L379" s="14" t="str">
        <f t="shared" si="112"/>
        <v/>
      </c>
      <c r="M379" s="293"/>
      <c r="N379" s="106">
        <f>G379*M379</f>
        <v>0</v>
      </c>
      <c r="P379" s="672"/>
      <c r="Q379" s="673"/>
      <c r="R379" s="673"/>
      <c r="S379" s="673"/>
      <c r="T379" s="674"/>
    </row>
    <row r="380" spans="3:20" s="14" customFormat="1">
      <c r="C380" s="3" t="s">
        <v>357</v>
      </c>
      <c r="D380" s="435"/>
      <c r="E380" s="436">
        <f>_xlfn.IFNA(VLOOKUP($C380,'Facteurs d''émission'!$D$2:$I$344,2,FALSE),"Non renseigné")</f>
        <v>0</v>
      </c>
      <c r="F380"/>
      <c r="G380" s="5">
        <f>IFERROR(D380*E380*(1+F380),0)</f>
        <v>0</v>
      </c>
      <c r="I380" s="400">
        <f>_xlfn.IFNA(VLOOKUP($C380,'Facteurs d''émission'!$D$2:$I$344,4,FALSE),"Non présent dans la base")</f>
        <v>0</v>
      </c>
      <c r="J380" s="293"/>
      <c r="K380" s="26">
        <f t="shared" si="111"/>
        <v>0</v>
      </c>
      <c r="L380" s="14" t="str">
        <f t="shared" si="112"/>
        <v/>
      </c>
      <c r="M380" s="293"/>
      <c r="N380" s="106">
        <f>G380*M380</f>
        <v>0</v>
      </c>
      <c r="P380" s="675"/>
      <c r="Q380" s="676"/>
      <c r="R380" s="676"/>
      <c r="S380" s="676"/>
      <c r="T380" s="677"/>
    </row>
    <row r="381" spans="3:20" s="14" customFormat="1">
      <c r="C381" s="372" t="s">
        <v>26</v>
      </c>
      <c r="D381" s="600">
        <f>SUM(D376:D380)</f>
        <v>0</v>
      </c>
      <c r="E381" s="17"/>
      <c r="F381"/>
      <c r="G381" s="62">
        <f>SUM(G376:G380)</f>
        <v>0</v>
      </c>
      <c r="I381" s="627" t="str">
        <f>IF(COUNTA(D376:D380)&gt;COUNTIF(L376:L380,"ok"),"! Remplir une incertitude !","")</f>
        <v/>
      </c>
      <c r="J381" s="686"/>
      <c r="K381" s="67">
        <f>SUM(K376:K380)</f>
        <v>0</v>
      </c>
      <c r="M381" s="68"/>
      <c r="N381" s="67">
        <f>SUM(N376:N380)</f>
        <v>0</v>
      </c>
      <c r="P381" s="652" t="str">
        <f>IF(N381&gt;0,IF(P375="","Attention: vous devez planifier une action afin de remplir votre objectif",""),"")</f>
        <v/>
      </c>
      <c r="Q381" s="653"/>
      <c r="R381" s="653"/>
      <c r="S381" s="653"/>
      <c r="T381" s="654"/>
    </row>
    <row r="382" spans="3:20" s="14" customFormat="1" ht="25.35" customHeight="1">
      <c r="C382" s="27"/>
      <c r="D382" s="27"/>
      <c r="E382" s="27"/>
      <c r="F382"/>
      <c r="G382" s="13"/>
      <c r="H382" s="13"/>
      <c r="K382" s="13"/>
      <c r="N382" s="13"/>
    </row>
    <row r="383" spans="3:20" s="14" customFormat="1" ht="12.75" customHeight="1">
      <c r="C383" s="27"/>
      <c r="D383" s="27"/>
      <c r="E383" s="15" t="s">
        <v>369</v>
      </c>
      <c r="F383"/>
      <c r="G383" s="13"/>
      <c r="H383" s="13"/>
      <c r="K383" s="13"/>
      <c r="N383" s="13"/>
    </row>
    <row r="384" spans="3:20" s="14" customFormat="1" ht="12.75" customHeight="1">
      <c r="C384" s="27"/>
      <c r="D384" s="27"/>
      <c r="E384" s="27"/>
      <c r="F384"/>
      <c r="G384" s="13"/>
      <c r="H384" s="13"/>
      <c r="K384" s="13"/>
      <c r="N384" s="13"/>
    </row>
    <row r="385" spans="3:20" s="14" customFormat="1">
      <c r="C385" s="359" t="s">
        <v>152</v>
      </c>
      <c r="F385"/>
      <c r="G385" s="76" t="s">
        <v>358</v>
      </c>
      <c r="I385" s="610" t="s">
        <v>65</v>
      </c>
      <c r="J385" s="610"/>
      <c r="K385" s="610"/>
      <c r="M385" s="610" t="s">
        <v>393</v>
      </c>
      <c r="N385" s="610"/>
    </row>
    <row r="386" spans="3:20" s="14" customFormat="1">
      <c r="C386" s="297" t="s">
        <v>107</v>
      </c>
      <c r="D386" s="297" t="s">
        <v>395</v>
      </c>
      <c r="E386" s="297" t="s">
        <v>396</v>
      </c>
      <c r="F386"/>
      <c r="G386" s="296" t="s">
        <v>265</v>
      </c>
      <c r="I386" s="297" t="s">
        <v>329</v>
      </c>
      <c r="J386" s="297" t="s">
        <v>330</v>
      </c>
      <c r="K386" s="296" t="s">
        <v>265</v>
      </c>
      <c r="M386" s="297" t="s">
        <v>331</v>
      </c>
      <c r="N386" s="296" t="s">
        <v>265</v>
      </c>
      <c r="P386" s="15" t="s">
        <v>115</v>
      </c>
    </row>
    <row r="387" spans="3:20" s="14" customFormat="1" ht="11.65" customHeight="1">
      <c r="C387" s="53" t="s">
        <v>80</v>
      </c>
      <c r="D387" s="435"/>
      <c r="E387" s="433">
        <f>_xlfn.IFNA(VLOOKUP($C387,'Facteurs d''émission'!$D$2:$I$344,2,FALSE),"Non renseigné")</f>
        <v>1063</v>
      </c>
      <c r="F387"/>
      <c r="G387" s="5">
        <f>D387*E387*(1+F387)</f>
        <v>0</v>
      </c>
      <c r="I387" s="400">
        <f>_xlfn.IFNA(VLOOKUP($C387,'Facteurs d''émission'!$D$2:$I$344,4,FALSE),"Non présent dans la base")</f>
        <v>0.2</v>
      </c>
      <c r="J387" s="291"/>
      <c r="K387" s="26">
        <f>G387*(1-(1-I387)*(1-J387))</f>
        <v>0</v>
      </c>
      <c r="L387" s="14" t="str">
        <f>IF(D387*COUNTA(J387)&gt;0,"ok","")</f>
        <v/>
      </c>
      <c r="M387" s="292">
        <v>0.5</v>
      </c>
      <c r="N387" s="100">
        <f>G387*M387</f>
        <v>0</v>
      </c>
      <c r="P387" s="669" t="s">
        <v>318</v>
      </c>
      <c r="Q387" s="670"/>
      <c r="R387" s="670"/>
      <c r="S387" s="670"/>
      <c r="T387" s="671"/>
    </row>
    <row r="388" spans="3:20" s="14" customFormat="1">
      <c r="C388" s="53" t="s">
        <v>51</v>
      </c>
      <c r="D388" s="435"/>
      <c r="E388" s="433">
        <f>_xlfn.IFNA(VLOOKUP($C388,'Facteurs d''émission'!$D$2:$I$344,2,FALSE),"Non renseigné")</f>
        <v>919</v>
      </c>
      <c r="F388"/>
      <c r="G388" s="5">
        <f>D388*E388*(1+F388)</f>
        <v>0</v>
      </c>
      <c r="I388" s="400">
        <f>_xlfn.IFNA(VLOOKUP($C388,'Facteurs d''émission'!$D$2:$I$344,4,FALSE),"Non présent dans la base")</f>
        <v>1</v>
      </c>
      <c r="J388" s="290">
        <v>0.01</v>
      </c>
      <c r="K388" s="26">
        <f>G388*(1-(1-I388)*(1-J388))</f>
        <v>0</v>
      </c>
      <c r="L388" s="14" t="str">
        <f>IF(D388*COUNTA(J388)&gt;0,"ok","")</f>
        <v/>
      </c>
      <c r="M388" s="292">
        <v>0.5</v>
      </c>
      <c r="N388" s="100">
        <f>G388*M388</f>
        <v>0</v>
      </c>
      <c r="P388" s="672"/>
      <c r="Q388" s="673"/>
      <c r="R388" s="673"/>
      <c r="S388" s="673"/>
      <c r="T388" s="674"/>
    </row>
    <row r="389" spans="3:20" s="14" customFormat="1">
      <c r="C389" s="53" t="s">
        <v>357</v>
      </c>
      <c r="D389" s="435"/>
      <c r="E389" s="433">
        <f>_xlfn.IFNA(VLOOKUP($C389,'Facteurs d''émission'!$D$2:$I$344,2,FALSE),"Non renseigné")</f>
        <v>0</v>
      </c>
      <c r="F389"/>
      <c r="G389" s="5">
        <f>D389*E389*(1+F389)</f>
        <v>0</v>
      </c>
      <c r="I389" s="400">
        <f>_xlfn.IFNA(VLOOKUP($C389,'Facteurs d''émission'!$D$2:$I$344,4,FALSE),"Non présent dans la base")</f>
        <v>0</v>
      </c>
      <c r="J389" s="291"/>
      <c r="K389" s="26">
        <f>G389*(1-(1-I389)*(1-J389))</f>
        <v>0</v>
      </c>
      <c r="L389" s="14" t="str">
        <f>IF(D389*COUNTA(J389)&gt;0,"ok","")</f>
        <v/>
      </c>
      <c r="M389" s="292"/>
      <c r="N389" s="100">
        <f>G389*M389</f>
        <v>0</v>
      </c>
      <c r="P389" s="672"/>
      <c r="Q389" s="673"/>
      <c r="R389" s="673"/>
      <c r="S389" s="673"/>
      <c r="T389" s="674"/>
    </row>
    <row r="390" spans="3:20" s="14" customFormat="1">
      <c r="C390" s="53" t="s">
        <v>357</v>
      </c>
      <c r="D390" s="435"/>
      <c r="E390" s="433">
        <f>_xlfn.IFNA(VLOOKUP($C390,'Facteurs d''émission'!$D$2:$I$344,2,FALSE),"Non renseigné")</f>
        <v>0</v>
      </c>
      <c r="F390"/>
      <c r="G390" s="5">
        <f>D390*E390*(1+F390)</f>
        <v>0</v>
      </c>
      <c r="I390" s="400">
        <f>_xlfn.IFNA(VLOOKUP($C390,'Facteurs d''émission'!$D$2:$I$344,4,FALSE),"Non présent dans la base")</f>
        <v>0</v>
      </c>
      <c r="J390" s="291"/>
      <c r="K390" s="26">
        <f>G390*(1-(1-I390)*(1-J390))</f>
        <v>0</v>
      </c>
      <c r="L390" s="14" t="str">
        <f>IF(D390*COUNTA(J390)&gt;0,"ok","")</f>
        <v/>
      </c>
      <c r="M390" s="292"/>
      <c r="N390" s="100">
        <f>G390*M390</f>
        <v>0</v>
      </c>
      <c r="P390" s="672"/>
      <c r="Q390" s="673"/>
      <c r="R390" s="673"/>
      <c r="S390" s="673"/>
      <c r="T390" s="674"/>
    </row>
    <row r="391" spans="3:20" s="14" customFormat="1">
      <c r="C391" s="53" t="s">
        <v>357</v>
      </c>
      <c r="D391" s="437"/>
      <c r="E391" s="433">
        <f>_xlfn.IFNA(VLOOKUP($C391,'Facteurs d''émission'!$D$2:$I$344,2,FALSE),"Non renseigné")</f>
        <v>0</v>
      </c>
      <c r="F391"/>
      <c r="G391" s="5">
        <f>D391*E391*(1+F391)</f>
        <v>0</v>
      </c>
      <c r="I391" s="400">
        <f>_xlfn.IFNA(VLOOKUP($C391,'Facteurs d''émission'!$D$2:$I$344,4,FALSE),"Non présent dans la base")</f>
        <v>0</v>
      </c>
      <c r="J391" s="289"/>
      <c r="K391" s="439">
        <f>G391*(1-(1-I391)*(1-J391))</f>
        <v>0</v>
      </c>
      <c r="L391" s="14" t="str">
        <f>IF(D391*COUNTA(J391)&gt;0,"ok","")</f>
        <v/>
      </c>
      <c r="M391" s="293"/>
      <c r="N391" s="106">
        <f>G391*M391</f>
        <v>0</v>
      </c>
      <c r="P391" s="675"/>
      <c r="Q391" s="676"/>
      <c r="R391" s="676"/>
      <c r="S391" s="676"/>
      <c r="T391" s="677"/>
    </row>
    <row r="392" spans="3:20" s="14" customFormat="1">
      <c r="C392" s="372" t="s">
        <v>26</v>
      </c>
      <c r="D392" s="17"/>
      <c r="E392" s="17"/>
      <c r="F392"/>
      <c r="G392" s="62">
        <f>SUM(G387:G391)</f>
        <v>0</v>
      </c>
      <c r="I392" s="627" t="str">
        <f>IF(COUNTA(D387:D391)&gt;COUNTIF(L387:L391,"ok"),"! Remplir une incertitude !","")</f>
        <v/>
      </c>
      <c r="J392" s="686"/>
      <c r="K392" s="67">
        <f>SUM(K387:K391)</f>
        <v>0</v>
      </c>
      <c r="M392" s="68"/>
      <c r="N392" s="67">
        <f>SUM(N387:N391)</f>
        <v>0</v>
      </c>
      <c r="P392" s="652" t="str">
        <f>IF(N392&gt;0,IF(P387="","Attention: vous devez planifier une action afin de remplir votre objectif",""),"")</f>
        <v/>
      </c>
      <c r="Q392" s="653"/>
      <c r="R392" s="653"/>
      <c r="S392" s="653"/>
      <c r="T392" s="654"/>
    </row>
    <row r="393" spans="3:20" s="14" customFormat="1" ht="26.45" customHeight="1">
      <c r="F393"/>
      <c r="G393" s="13"/>
      <c r="K393" s="13"/>
      <c r="N393" s="13"/>
    </row>
    <row r="394" spans="3:20" s="14" customFormat="1">
      <c r="E394" s="15" t="s">
        <v>371</v>
      </c>
      <c r="F394"/>
      <c r="G394" s="13"/>
      <c r="K394" s="13"/>
      <c r="N394" s="13"/>
    </row>
    <row r="395" spans="3:20" s="14" customFormat="1">
      <c r="F395"/>
      <c r="G395" s="13"/>
      <c r="K395" s="13"/>
      <c r="N395" s="13"/>
    </row>
    <row r="396" spans="3:20" s="14" customFormat="1" ht="12.75" customHeight="1">
      <c r="C396" s="359" t="s">
        <v>153</v>
      </c>
      <c r="F396"/>
      <c r="G396" s="76" t="s">
        <v>358</v>
      </c>
      <c r="I396" s="610" t="s">
        <v>65</v>
      </c>
      <c r="J396" s="610"/>
      <c r="K396" s="610"/>
      <c r="M396" s="610" t="s">
        <v>393</v>
      </c>
      <c r="N396" s="610"/>
      <c r="P396" s="15" t="s">
        <v>115</v>
      </c>
    </row>
    <row r="397" spans="3:20" s="14" customFormat="1">
      <c r="C397" s="297" t="s">
        <v>108</v>
      </c>
      <c r="D397" s="297" t="s">
        <v>395</v>
      </c>
      <c r="E397" s="297" t="s">
        <v>396</v>
      </c>
      <c r="F397"/>
      <c r="G397" s="296" t="s">
        <v>265</v>
      </c>
      <c r="I397" s="297" t="s">
        <v>329</v>
      </c>
      <c r="J397" s="297" t="s">
        <v>330</v>
      </c>
      <c r="K397" s="296" t="s">
        <v>265</v>
      </c>
      <c r="M397" s="297" t="s">
        <v>331</v>
      </c>
      <c r="N397" s="296" t="s">
        <v>265</v>
      </c>
      <c r="P397" s="666" t="s">
        <v>167</v>
      </c>
      <c r="Q397" s="667"/>
      <c r="R397" s="667"/>
      <c r="S397" s="667"/>
      <c r="T397" s="668"/>
    </row>
    <row r="398" spans="3:20" s="14" customFormat="1">
      <c r="C398" s="17" t="s">
        <v>211</v>
      </c>
      <c r="D398" s="286"/>
      <c r="E398" s="433">
        <f>_xlfn.IFNA(VLOOKUP($C398,'Facteurs d''émission'!$D$2:$I$344,2,FALSE),"Non renseigné")</f>
        <v>9150</v>
      </c>
      <c r="F398"/>
      <c r="G398" s="5">
        <f t="shared" ref="G398:G404" si="113">D398*E398*(1+F398)</f>
        <v>0</v>
      </c>
      <c r="I398" s="400">
        <f>_xlfn.IFNA(VLOOKUP($C398,'Facteurs d''émission'!$D$2:$I$344,4,FALSE),"Non présent dans la base")</f>
        <v>0.5</v>
      </c>
      <c r="J398" s="291"/>
      <c r="K398" s="5">
        <f t="shared" ref="K398:K404" si="114">G398*(1-(1-I398)*(1-J398))</f>
        <v>0</v>
      </c>
      <c r="L398" s="14" t="str">
        <f t="shared" ref="L398:L404" si="115">IF(D398*COUNTA(J398)&gt;0,"ok","")</f>
        <v/>
      </c>
      <c r="M398" s="292"/>
      <c r="N398" s="5">
        <f t="shared" ref="N398:N404" si="116">M398*D398*E398</f>
        <v>0</v>
      </c>
      <c r="P398" s="669"/>
      <c r="Q398" s="670"/>
      <c r="R398" s="670"/>
      <c r="S398" s="670"/>
      <c r="T398" s="671"/>
    </row>
    <row r="399" spans="3:20" s="14" customFormat="1">
      <c r="C399" s="17" t="s">
        <v>55</v>
      </c>
      <c r="D399" s="286"/>
      <c r="E399" s="433">
        <f>_xlfn.IFNA(VLOOKUP($C399,'Facteurs d''émission'!$D$2:$I$344,2,FALSE),"Non renseigné")</f>
        <v>587</v>
      </c>
      <c r="F399"/>
      <c r="G399" s="5">
        <f t="shared" si="113"/>
        <v>0</v>
      </c>
      <c r="I399" s="400">
        <f>_xlfn.IFNA(VLOOKUP($C399,'Facteurs d''émission'!$D$2:$I$344,4,FALSE),"Non présent dans la base")</f>
        <v>0.5</v>
      </c>
      <c r="J399" s="291"/>
      <c r="K399" s="5">
        <f t="shared" si="114"/>
        <v>0</v>
      </c>
      <c r="L399" s="14" t="str">
        <f t="shared" si="115"/>
        <v/>
      </c>
      <c r="M399" s="292"/>
      <c r="N399" s="5">
        <f t="shared" si="116"/>
        <v>0</v>
      </c>
      <c r="P399" s="672"/>
      <c r="Q399" s="673"/>
      <c r="R399" s="673"/>
      <c r="S399" s="673"/>
      <c r="T399" s="674"/>
    </row>
    <row r="400" spans="3:20" s="14" customFormat="1">
      <c r="C400" s="17" t="s">
        <v>76</v>
      </c>
      <c r="D400" s="286"/>
      <c r="E400" s="433">
        <f>_xlfn.IFNA(VLOOKUP($C400,'Facteurs d''émission'!$D$2:$I$344,2,FALSE),"Non renseigné")</f>
        <v>148</v>
      </c>
      <c r="F400"/>
      <c r="G400" s="5">
        <f t="shared" si="113"/>
        <v>0</v>
      </c>
      <c r="I400" s="400">
        <f>_xlfn.IFNA(VLOOKUP($C400,'Facteurs d''émission'!$D$2:$I$344,4,FALSE),"Non présent dans la base")</f>
        <v>0.5</v>
      </c>
      <c r="J400" s="291"/>
      <c r="K400" s="5">
        <f t="shared" si="114"/>
        <v>0</v>
      </c>
      <c r="L400" s="14" t="str">
        <f t="shared" si="115"/>
        <v/>
      </c>
      <c r="M400" s="292"/>
      <c r="N400" s="5">
        <f t="shared" si="116"/>
        <v>0</v>
      </c>
      <c r="P400" s="672"/>
      <c r="Q400" s="673"/>
      <c r="R400" s="673"/>
      <c r="S400" s="673"/>
      <c r="T400" s="674"/>
    </row>
    <row r="401" spans="3:20" s="14" customFormat="1">
      <c r="C401" s="17" t="s">
        <v>212</v>
      </c>
      <c r="D401" s="286"/>
      <c r="E401" s="433">
        <f>_xlfn.IFNA(VLOOKUP($C401,'Facteurs d''émission'!$D$2:$I$344,2,FALSE),"Non renseigné")</f>
        <v>1199</v>
      </c>
      <c r="F401"/>
      <c r="G401" s="5">
        <f t="shared" si="113"/>
        <v>0</v>
      </c>
      <c r="I401" s="400">
        <f>_xlfn.IFNA(VLOOKUP($C401,'Facteurs d''émission'!$D$2:$I$344,4,FALSE),"Non présent dans la base")</f>
        <v>0.5</v>
      </c>
      <c r="J401" s="291"/>
      <c r="K401" s="5">
        <f t="shared" si="114"/>
        <v>0</v>
      </c>
      <c r="L401" s="14" t="str">
        <f t="shared" si="115"/>
        <v/>
      </c>
      <c r="M401" s="292"/>
      <c r="N401" s="5">
        <f t="shared" si="116"/>
        <v>0</v>
      </c>
      <c r="P401" s="672"/>
      <c r="Q401" s="673"/>
      <c r="R401" s="673"/>
      <c r="S401" s="673"/>
      <c r="T401" s="674"/>
    </row>
    <row r="402" spans="3:20" s="14" customFormat="1">
      <c r="C402" s="17" t="s">
        <v>357</v>
      </c>
      <c r="D402" s="286"/>
      <c r="E402" s="433">
        <f>_xlfn.IFNA(VLOOKUP($C402,'Facteurs d''émission'!$D$2:$I$344,2,FALSE),"Non renseigné")</f>
        <v>0</v>
      </c>
      <c r="F402"/>
      <c r="G402" s="5">
        <f t="shared" si="113"/>
        <v>0</v>
      </c>
      <c r="I402" s="400">
        <f>_xlfn.IFNA(VLOOKUP($C402,'Facteurs d''émission'!$D$2:$I$344,4,FALSE),"Non présent dans la base")</f>
        <v>0</v>
      </c>
      <c r="J402" s="291"/>
      <c r="K402" s="5">
        <f t="shared" si="114"/>
        <v>0</v>
      </c>
      <c r="L402" s="14" t="str">
        <f t="shared" si="115"/>
        <v/>
      </c>
      <c r="M402" s="292"/>
      <c r="N402" s="5">
        <f t="shared" si="116"/>
        <v>0</v>
      </c>
      <c r="P402" s="672"/>
      <c r="Q402" s="673"/>
      <c r="R402" s="673"/>
      <c r="S402" s="673"/>
      <c r="T402" s="674"/>
    </row>
    <row r="403" spans="3:20" s="14" customFormat="1">
      <c r="C403" s="17" t="s">
        <v>357</v>
      </c>
      <c r="D403" s="286"/>
      <c r="E403" s="433">
        <f>_xlfn.IFNA(VLOOKUP($C403,'Facteurs d''émission'!$D$2:$I$344,2,FALSE),"Non renseigné")</f>
        <v>0</v>
      </c>
      <c r="F403"/>
      <c r="G403" s="5">
        <f t="shared" si="113"/>
        <v>0</v>
      </c>
      <c r="I403" s="400">
        <f>_xlfn.IFNA(VLOOKUP($C403,'Facteurs d''émission'!$D$2:$I$344,4,FALSE),"Non présent dans la base")</f>
        <v>0</v>
      </c>
      <c r="J403" s="291"/>
      <c r="K403" s="5">
        <f t="shared" si="114"/>
        <v>0</v>
      </c>
      <c r="L403" s="14" t="str">
        <f t="shared" si="115"/>
        <v/>
      </c>
      <c r="M403" s="292"/>
      <c r="N403" s="5">
        <f t="shared" si="116"/>
        <v>0</v>
      </c>
      <c r="P403" s="672"/>
      <c r="Q403" s="673"/>
      <c r="R403" s="673"/>
      <c r="S403" s="673"/>
      <c r="T403" s="674"/>
    </row>
    <row r="404" spans="3:20" s="14" customFormat="1">
      <c r="C404" s="17" t="s">
        <v>357</v>
      </c>
      <c r="D404" s="286"/>
      <c r="E404" s="433">
        <f>_xlfn.IFNA(VLOOKUP($C404,'Facteurs d''émission'!$D$2:$I$344,2,FALSE),"Non renseigné")</f>
        <v>0</v>
      </c>
      <c r="F404"/>
      <c r="G404" s="5">
        <f t="shared" si="113"/>
        <v>0</v>
      </c>
      <c r="I404" s="400">
        <f>_xlfn.IFNA(VLOOKUP($C404,'Facteurs d''émission'!$D$2:$I$344,4,FALSE),"Non présent dans la base")</f>
        <v>0</v>
      </c>
      <c r="J404" s="289"/>
      <c r="K404" s="101">
        <f t="shared" si="114"/>
        <v>0</v>
      </c>
      <c r="L404" s="14" t="str">
        <f t="shared" si="115"/>
        <v/>
      </c>
      <c r="M404" s="293"/>
      <c r="N404" s="101">
        <f t="shared" si="116"/>
        <v>0</v>
      </c>
      <c r="P404" s="675"/>
      <c r="Q404" s="676"/>
      <c r="R404" s="676"/>
      <c r="S404" s="676"/>
      <c r="T404" s="677"/>
    </row>
    <row r="405" spans="3:20" s="14" customFormat="1">
      <c r="C405" s="372" t="s">
        <v>26</v>
      </c>
      <c r="D405" s="17"/>
      <c r="E405" s="17"/>
      <c r="F405"/>
      <c r="G405" s="62">
        <f>SUM(G398:G404)</f>
        <v>0</v>
      </c>
      <c r="I405" s="627" t="str">
        <f>IF(COUNTA(D398:D404)&gt;COUNTIF(L398:L404,"ok"),"! Remplir une incertitude !","")</f>
        <v/>
      </c>
      <c r="J405" s="686"/>
      <c r="K405" s="67">
        <f>SUM(K398:K404)</f>
        <v>0</v>
      </c>
      <c r="M405" s="68"/>
      <c r="N405" s="67">
        <f>SUM(N398:N404)</f>
        <v>0</v>
      </c>
      <c r="P405" s="652" t="str">
        <f>IF(N405&gt;0,IF(#REF!="","Attention: vous devez planifier une action afin de remplir votre objectif",""),"")</f>
        <v/>
      </c>
      <c r="Q405" s="653"/>
      <c r="R405" s="653"/>
      <c r="S405" s="653"/>
      <c r="T405" s="654"/>
    </row>
    <row r="406" spans="3:20" s="14" customFormat="1" ht="27.4" customHeight="1">
      <c r="E406" s="13"/>
      <c r="F406"/>
      <c r="G406" s="12"/>
      <c r="H406" s="12"/>
      <c r="I406" s="12"/>
      <c r="J406" s="12"/>
      <c r="K406" s="13"/>
      <c r="N406" s="13"/>
    </row>
    <row r="407" spans="3:20" s="14" customFormat="1">
      <c r="E407" s="15" t="s">
        <v>372</v>
      </c>
      <c r="F407"/>
      <c r="G407" s="12"/>
      <c r="H407" s="12"/>
      <c r="I407" s="12"/>
      <c r="J407" s="12"/>
      <c r="K407" s="13"/>
      <c r="N407" s="13"/>
    </row>
    <row r="408" spans="3:20" s="14" customFormat="1">
      <c r="E408" s="13"/>
      <c r="F408"/>
      <c r="G408" s="12"/>
      <c r="H408" s="12"/>
      <c r="I408" s="12"/>
      <c r="J408" s="12"/>
      <c r="K408" s="13"/>
      <c r="N408" s="13"/>
    </row>
    <row r="409" spans="3:20" s="14" customFormat="1" ht="12.75" customHeight="1">
      <c r="C409" s="359" t="s">
        <v>154</v>
      </c>
      <c r="F409"/>
      <c r="G409" s="76" t="s">
        <v>358</v>
      </c>
      <c r="I409" s="610" t="s">
        <v>65</v>
      </c>
      <c r="J409" s="610"/>
      <c r="K409" s="610"/>
      <c r="M409" s="610" t="s">
        <v>393</v>
      </c>
      <c r="N409" s="610"/>
      <c r="P409" s="15" t="s">
        <v>115</v>
      </c>
    </row>
    <row r="410" spans="3:20" s="14" customFormat="1">
      <c r="C410" s="297" t="s">
        <v>122</v>
      </c>
      <c r="D410" s="297" t="s">
        <v>407</v>
      </c>
      <c r="E410" s="297" t="s">
        <v>408</v>
      </c>
      <c r="F410"/>
      <c r="G410" s="296" t="s">
        <v>265</v>
      </c>
      <c r="I410" s="297" t="s">
        <v>329</v>
      </c>
      <c r="J410" s="297" t="s">
        <v>330</v>
      </c>
      <c r="K410" s="296" t="s">
        <v>265</v>
      </c>
      <c r="M410" s="297" t="s">
        <v>331</v>
      </c>
      <c r="N410" s="296" t="s">
        <v>265</v>
      </c>
      <c r="P410" s="666" t="s">
        <v>167</v>
      </c>
      <c r="Q410" s="667"/>
      <c r="R410" s="667"/>
      <c r="S410" s="667"/>
      <c r="T410" s="668"/>
    </row>
    <row r="411" spans="3:20" s="14" customFormat="1">
      <c r="C411" s="243" t="s">
        <v>399</v>
      </c>
      <c r="D411" s="441"/>
      <c r="E411" s="433">
        <f>_xlfn.IFNA(VLOOKUP($C411,'Facteurs d''émission'!$D$2:$I$344,2,FALSE),"Non renseigné")</f>
        <v>110</v>
      </c>
      <c r="F411"/>
      <c r="G411" s="5">
        <f t="shared" ref="G411:G419" si="117">D411*E411</f>
        <v>0</v>
      </c>
      <c r="I411" s="400">
        <f>_xlfn.IFNA(VLOOKUP($C411,'Facteurs d''émission'!$D$2:$I$344,4,FALSE),"Non présent dans la base")</f>
        <v>0.8</v>
      </c>
      <c r="J411" s="291"/>
      <c r="K411" s="5">
        <f t="shared" ref="K411:K419" si="118">G411*(1-(1-I411)*(1-J411))</f>
        <v>0</v>
      </c>
      <c r="L411" s="14" t="str">
        <f t="shared" ref="L411:L419" si="119">IF(D411*COUNTA(J411)&gt;0,"ok","")</f>
        <v/>
      </c>
      <c r="M411" s="292"/>
      <c r="N411" s="5">
        <f t="shared" ref="N411:N419" si="120">M411*D411*E411</f>
        <v>0</v>
      </c>
      <c r="P411" s="669"/>
      <c r="Q411" s="670"/>
      <c r="R411" s="670"/>
      <c r="S411" s="670"/>
      <c r="T411" s="671"/>
    </row>
    <row r="412" spans="3:20" s="14" customFormat="1">
      <c r="C412" s="243" t="s">
        <v>400</v>
      </c>
      <c r="D412" s="441"/>
      <c r="E412" s="433">
        <f>_xlfn.IFNA(VLOOKUP($C412,'Facteurs d''émission'!$D$2:$I$344,2,FALSE),"Non renseigné")</f>
        <v>130</v>
      </c>
      <c r="F412"/>
      <c r="G412" s="5">
        <f t="shared" si="117"/>
        <v>0</v>
      </c>
      <c r="I412" s="400">
        <f>_xlfn.IFNA(VLOOKUP($C412,'Facteurs d''émission'!$D$2:$I$344,4,FALSE),"Non présent dans la base")</f>
        <v>0.8</v>
      </c>
      <c r="J412" s="291"/>
      <c r="K412" s="5">
        <f t="shared" si="118"/>
        <v>0</v>
      </c>
      <c r="L412" s="14" t="str">
        <f t="shared" si="119"/>
        <v/>
      </c>
      <c r="M412" s="292"/>
      <c r="N412" s="5">
        <f t="shared" si="120"/>
        <v>0</v>
      </c>
      <c r="P412" s="672"/>
      <c r="Q412" s="673"/>
      <c r="R412" s="673"/>
      <c r="S412" s="673"/>
      <c r="T412" s="674"/>
    </row>
    <row r="413" spans="3:20" s="14" customFormat="1">
      <c r="C413" s="243" t="s">
        <v>401</v>
      </c>
      <c r="D413" s="441"/>
      <c r="E413" s="433">
        <f>_xlfn.IFNA(VLOOKUP($C413,'Facteurs d''émission'!$D$2:$I$344,2,FALSE),"Non renseigné")</f>
        <v>170</v>
      </c>
      <c r="F413"/>
      <c r="G413" s="5">
        <f t="shared" si="117"/>
        <v>0</v>
      </c>
      <c r="I413" s="400">
        <f>_xlfn.IFNA(VLOOKUP($C413,'Facteurs d''émission'!$D$2:$I$344,4,FALSE),"Non présent dans la base")</f>
        <v>0.8</v>
      </c>
      <c r="J413" s="291"/>
      <c r="K413" s="5">
        <f t="shared" si="118"/>
        <v>0</v>
      </c>
      <c r="L413" s="14" t="str">
        <f t="shared" si="119"/>
        <v/>
      </c>
      <c r="M413" s="292"/>
      <c r="N413" s="5">
        <f t="shared" si="120"/>
        <v>0</v>
      </c>
      <c r="P413" s="672"/>
      <c r="Q413" s="673"/>
      <c r="R413" s="673"/>
      <c r="S413" s="673"/>
      <c r="T413" s="674"/>
    </row>
    <row r="414" spans="3:20" s="14" customFormat="1">
      <c r="C414" s="243" t="s">
        <v>402</v>
      </c>
      <c r="D414" s="441"/>
      <c r="E414" s="433">
        <f>_xlfn.IFNA(VLOOKUP($C414,'Facteurs d''émission'!$D$2:$I$344,2,FALSE),"Non renseigné")</f>
        <v>310</v>
      </c>
      <c r="F414"/>
      <c r="G414" s="5">
        <f t="shared" si="117"/>
        <v>0</v>
      </c>
      <c r="I414" s="400">
        <f>_xlfn.IFNA(VLOOKUP($C414,'Facteurs d''émission'!$D$2:$I$344,4,FALSE),"Non présent dans la base")</f>
        <v>0.8</v>
      </c>
      <c r="J414" s="291"/>
      <c r="K414" s="5">
        <f t="shared" si="118"/>
        <v>0</v>
      </c>
      <c r="L414" s="14" t="str">
        <f t="shared" si="119"/>
        <v/>
      </c>
      <c r="M414" s="292"/>
      <c r="N414" s="5">
        <f t="shared" si="120"/>
        <v>0</v>
      </c>
      <c r="P414" s="672"/>
      <c r="Q414" s="673"/>
      <c r="R414" s="673"/>
      <c r="S414" s="673"/>
      <c r="T414" s="674"/>
    </row>
    <row r="415" spans="3:20" s="14" customFormat="1">
      <c r="C415" s="243" t="s">
        <v>403</v>
      </c>
      <c r="D415" s="441"/>
      <c r="E415" s="433">
        <f>_xlfn.IFNA(VLOOKUP($C415,'Facteurs d''émission'!$D$2:$I$344,2,FALSE),"Non renseigné")</f>
        <v>390</v>
      </c>
      <c r="F415"/>
      <c r="G415" s="5">
        <f t="shared" si="117"/>
        <v>0</v>
      </c>
      <c r="I415" s="400">
        <f>_xlfn.IFNA(VLOOKUP($C415,'Facteurs d''émission'!$D$2:$I$344,4,FALSE),"Non présent dans la base")</f>
        <v>0.8</v>
      </c>
      <c r="J415" s="291"/>
      <c r="K415" s="5">
        <f t="shared" si="118"/>
        <v>0</v>
      </c>
      <c r="L415" s="14" t="str">
        <f t="shared" si="119"/>
        <v/>
      </c>
      <c r="M415" s="292"/>
      <c r="N415" s="5">
        <f t="shared" si="120"/>
        <v>0</v>
      </c>
      <c r="P415" s="672"/>
      <c r="Q415" s="673"/>
      <c r="R415" s="673"/>
      <c r="S415" s="673"/>
      <c r="T415" s="674"/>
    </row>
    <row r="416" spans="3:20" s="14" customFormat="1">
      <c r="C416" s="243" t="s">
        <v>405</v>
      </c>
      <c r="D416" s="441"/>
      <c r="E416" s="433">
        <f>_xlfn.IFNA(VLOOKUP($C416,'Facteurs d''émission'!$D$2:$I$344,2,FALSE),"Non renseigné")</f>
        <v>320</v>
      </c>
      <c r="F416"/>
      <c r="G416" s="5">
        <f t="shared" si="117"/>
        <v>0</v>
      </c>
      <c r="I416" s="400">
        <f>_xlfn.IFNA(VLOOKUP($C416,'Facteurs d''émission'!$D$2:$I$344,4,FALSE),"Non présent dans la base")</f>
        <v>0.8</v>
      </c>
      <c r="J416" s="291"/>
      <c r="K416" s="5">
        <f t="shared" si="118"/>
        <v>0</v>
      </c>
      <c r="L416" s="14" t="str">
        <f t="shared" si="119"/>
        <v/>
      </c>
      <c r="M416" s="292"/>
      <c r="N416" s="5">
        <f t="shared" si="120"/>
        <v>0</v>
      </c>
      <c r="P416" s="672"/>
      <c r="Q416" s="673"/>
      <c r="R416" s="673"/>
      <c r="S416" s="673"/>
      <c r="T416" s="674"/>
    </row>
    <row r="417" spans="1:20" s="14" customFormat="1">
      <c r="C417" s="243" t="s">
        <v>357</v>
      </c>
      <c r="D417" s="441"/>
      <c r="E417" s="433">
        <f>_xlfn.IFNA(VLOOKUP($C417,'Facteurs d''émission'!$D$2:$I$344,2,FALSE),"Non renseigné")</f>
        <v>0</v>
      </c>
      <c r="F417"/>
      <c r="G417" s="5">
        <f t="shared" si="117"/>
        <v>0</v>
      </c>
      <c r="I417" s="400">
        <f>_xlfn.IFNA(VLOOKUP($C417,'Facteurs d''émission'!$D$2:$I$344,4,FALSE),"Non présent dans la base")</f>
        <v>0</v>
      </c>
      <c r="J417" s="291"/>
      <c r="K417" s="5">
        <f t="shared" si="118"/>
        <v>0</v>
      </c>
      <c r="L417" s="14" t="str">
        <f t="shared" si="119"/>
        <v/>
      </c>
      <c r="M417" s="292"/>
      <c r="N417" s="5">
        <f t="shared" si="120"/>
        <v>0</v>
      </c>
      <c r="P417" s="672"/>
      <c r="Q417" s="673"/>
      <c r="R417" s="673"/>
      <c r="S417" s="673"/>
      <c r="T417" s="674"/>
    </row>
    <row r="418" spans="1:20" s="14" customFormat="1">
      <c r="C418" s="243" t="s">
        <v>357</v>
      </c>
      <c r="D418" s="441"/>
      <c r="E418" s="433">
        <f>_xlfn.IFNA(VLOOKUP($C418,'Facteurs d''émission'!$D$2:$I$344,2,FALSE),"Non renseigné")</f>
        <v>0</v>
      </c>
      <c r="F418"/>
      <c r="G418" s="5">
        <f t="shared" si="117"/>
        <v>0</v>
      </c>
      <c r="I418" s="400">
        <f>_xlfn.IFNA(VLOOKUP($C418,'Facteurs d''émission'!$D$2:$I$344,4,FALSE),"Non présent dans la base")</f>
        <v>0</v>
      </c>
      <c r="J418" s="291"/>
      <c r="K418" s="5">
        <f t="shared" si="118"/>
        <v>0</v>
      </c>
      <c r="L418" s="14" t="str">
        <f t="shared" si="119"/>
        <v/>
      </c>
      <c r="M418" s="292"/>
      <c r="N418" s="5">
        <f t="shared" si="120"/>
        <v>0</v>
      </c>
      <c r="P418" s="672"/>
      <c r="Q418" s="673"/>
      <c r="R418" s="673"/>
      <c r="S418" s="673"/>
      <c r="T418" s="674"/>
    </row>
    <row r="419" spans="1:20" s="14" customFormat="1">
      <c r="C419" s="243" t="s">
        <v>357</v>
      </c>
      <c r="D419" s="441"/>
      <c r="E419" s="433">
        <f>_xlfn.IFNA(VLOOKUP($C419,'Facteurs d''émission'!$D$2:$I$344,2,FALSE),"Non renseigné")</f>
        <v>0</v>
      </c>
      <c r="F419"/>
      <c r="G419" s="5">
        <f t="shared" si="117"/>
        <v>0</v>
      </c>
      <c r="I419" s="400">
        <f>_xlfn.IFNA(VLOOKUP($C419,'Facteurs d''émission'!$D$2:$I$344,4,FALSE),"Non présent dans la base")</f>
        <v>0</v>
      </c>
      <c r="J419" s="291"/>
      <c r="K419" s="5">
        <f t="shared" si="118"/>
        <v>0</v>
      </c>
      <c r="L419" s="14" t="str">
        <f t="shared" si="119"/>
        <v/>
      </c>
      <c r="M419" s="292"/>
      <c r="N419" s="5">
        <f t="shared" si="120"/>
        <v>0</v>
      </c>
      <c r="P419" s="675"/>
      <c r="Q419" s="676"/>
      <c r="R419" s="676"/>
      <c r="S419" s="676"/>
      <c r="T419" s="677"/>
    </row>
    <row r="420" spans="1:20" s="14" customFormat="1">
      <c r="C420" s="372" t="s">
        <v>26</v>
      </c>
      <c r="D420" s="5">
        <f>SUM(D411:D419)</f>
        <v>0</v>
      </c>
      <c r="E420" s="17"/>
      <c r="F420"/>
      <c r="G420" s="62">
        <f>SUM(G411:G419)</f>
        <v>0</v>
      </c>
      <c r="I420" s="627" t="str">
        <f>IF(COUNTA(D411:D419)&gt;COUNTIF(L411:L419,"ok"),"! Remplir une incertitude !","")</f>
        <v/>
      </c>
      <c r="J420" s="686"/>
      <c r="K420" s="67">
        <f>SUM(K411:K419)</f>
        <v>0</v>
      </c>
      <c r="M420" s="68"/>
      <c r="N420" s="67">
        <f>SUM(N411:N419)</f>
        <v>0</v>
      </c>
      <c r="P420" s="652" t="str">
        <f>IF(N420&gt;0,IF(#REF!="","Attention: vous devez planifier une action afin de remplir votre objectif",""),"")</f>
        <v/>
      </c>
      <c r="Q420" s="653"/>
      <c r="R420" s="653"/>
      <c r="S420" s="653"/>
      <c r="T420" s="654"/>
    </row>
    <row r="421" spans="1:20" s="14" customFormat="1">
      <c r="G421" s="13"/>
      <c r="K421" s="13"/>
      <c r="N421" s="13"/>
    </row>
    <row r="422" spans="1:20" s="14" customFormat="1">
      <c r="G422" s="13"/>
      <c r="K422" s="13"/>
      <c r="N422" s="13"/>
    </row>
    <row r="423" spans="1:20" s="79" customFormat="1">
      <c r="G423" s="107"/>
      <c r="K423" s="107"/>
      <c r="N423" s="107"/>
    </row>
    <row r="424" spans="1:20" s="79" customFormat="1">
      <c r="G424" s="107"/>
      <c r="K424" s="107"/>
      <c r="N424" s="107"/>
    </row>
    <row r="425" spans="1:20" s="80" customFormat="1" ht="15.75">
      <c r="A425" s="79"/>
      <c r="B425" s="79"/>
      <c r="C425" s="701" t="s">
        <v>155</v>
      </c>
      <c r="D425" s="701"/>
      <c r="E425" s="701"/>
      <c r="F425" s="701"/>
      <c r="G425" s="701"/>
      <c r="H425" s="701"/>
      <c r="I425" s="701"/>
      <c r="J425" s="701"/>
      <c r="K425" s="701"/>
      <c r="L425" s="27"/>
      <c r="N425" s="134"/>
    </row>
    <row r="426" spans="1:20" s="80" customFormat="1">
      <c r="G426" s="134"/>
      <c r="K426" s="134"/>
      <c r="N426" s="134"/>
    </row>
    <row r="427" spans="1:20" s="79" customFormat="1">
      <c r="A427" s="80"/>
      <c r="B427" s="80"/>
      <c r="C427" s="15" t="s">
        <v>140</v>
      </c>
      <c r="D427" s="15"/>
      <c r="E427" s="16" t="s">
        <v>20</v>
      </c>
      <c r="F427" s="16"/>
      <c r="G427" s="76"/>
      <c r="H427" s="15"/>
      <c r="I427" s="610" t="s">
        <v>65</v>
      </c>
      <c r="J427" s="610"/>
      <c r="K427" s="610"/>
      <c r="L427" s="15"/>
      <c r="M427" s="645" t="s">
        <v>117</v>
      </c>
      <c r="N427" s="630"/>
      <c r="O427" s="630"/>
      <c r="P427" s="16" t="s">
        <v>13</v>
      </c>
    </row>
    <row r="428" spans="1:20" s="80" customFormat="1">
      <c r="A428" s="79"/>
      <c r="B428" s="79"/>
      <c r="C428" s="429" t="s">
        <v>136</v>
      </c>
      <c r="D428" s="430" t="s">
        <v>265</v>
      </c>
      <c r="E428" s="430" t="s">
        <v>355</v>
      </c>
      <c r="F428" s="431" t="s">
        <v>70</v>
      </c>
      <c r="I428" s="430" t="s">
        <v>265</v>
      </c>
      <c r="J428" s="430" t="s">
        <v>355</v>
      </c>
      <c r="K428" s="430" t="s">
        <v>53</v>
      </c>
      <c r="M428" s="430" t="s">
        <v>265</v>
      </c>
      <c r="N428" s="431" t="s">
        <v>355</v>
      </c>
      <c r="O428" s="430" t="s">
        <v>52</v>
      </c>
      <c r="P428" s="430" t="s">
        <v>355</v>
      </c>
    </row>
    <row r="429" spans="1:20" s="80" customFormat="1">
      <c r="C429" s="82" t="s">
        <v>82</v>
      </c>
      <c r="D429" s="83">
        <f>G358</f>
        <v>0</v>
      </c>
      <c r="E429" s="84">
        <f t="shared" ref="E429:E434" si="121">D429/1000</f>
        <v>0</v>
      </c>
      <c r="F429" s="191" t="str">
        <f t="shared" ref="F429:F434" si="122">IF($E$435=0,"",E429/$E$435)</f>
        <v/>
      </c>
      <c r="I429" s="84">
        <f>K358</f>
        <v>0</v>
      </c>
      <c r="J429" s="84">
        <f t="shared" ref="J429:J434" si="123">I429/1000</f>
        <v>0</v>
      </c>
      <c r="K429" s="135" t="str">
        <f t="shared" ref="K429:K435" si="124">IF(D429=0,"",I429/D429)</f>
        <v/>
      </c>
      <c r="M429" s="84">
        <f>N358</f>
        <v>0</v>
      </c>
      <c r="N429" s="84">
        <f t="shared" ref="N429:N434" si="125">M429/1000</f>
        <v>0</v>
      </c>
      <c r="O429" s="110" t="str">
        <f t="shared" ref="O429:O435" si="126">IF($D429=0,"",M429/$D429)</f>
        <v/>
      </c>
      <c r="P429" s="87">
        <f t="shared" ref="P429:P434" si="127">E429-N429</f>
        <v>0</v>
      </c>
    </row>
    <row r="430" spans="1:20" s="80" customFormat="1">
      <c r="C430" s="82" t="s">
        <v>83</v>
      </c>
      <c r="D430" s="83">
        <f>G369</f>
        <v>0</v>
      </c>
      <c r="E430" s="84">
        <f t="shared" si="121"/>
        <v>0</v>
      </c>
      <c r="F430" s="191" t="str">
        <f t="shared" si="122"/>
        <v/>
      </c>
      <c r="I430" s="84">
        <f>K369</f>
        <v>0</v>
      </c>
      <c r="J430" s="84">
        <f t="shared" si="123"/>
        <v>0</v>
      </c>
      <c r="K430" s="135" t="str">
        <f t="shared" si="124"/>
        <v/>
      </c>
      <c r="M430" s="84">
        <f>N369</f>
        <v>0</v>
      </c>
      <c r="N430" s="84">
        <f t="shared" si="125"/>
        <v>0</v>
      </c>
      <c r="O430" s="110" t="str">
        <f t="shared" si="126"/>
        <v/>
      </c>
      <c r="P430" s="87">
        <f t="shared" si="127"/>
        <v>0</v>
      </c>
    </row>
    <row r="431" spans="1:20" s="80" customFormat="1">
      <c r="C431" s="82" t="s">
        <v>84</v>
      </c>
      <c r="D431" s="83">
        <f>G381</f>
        <v>0</v>
      </c>
      <c r="E431" s="84">
        <f t="shared" si="121"/>
        <v>0</v>
      </c>
      <c r="F431" s="191" t="str">
        <f t="shared" si="122"/>
        <v/>
      </c>
      <c r="I431" s="84">
        <f>K381</f>
        <v>0</v>
      </c>
      <c r="J431" s="84">
        <f t="shared" si="123"/>
        <v>0</v>
      </c>
      <c r="K431" s="135" t="str">
        <f t="shared" si="124"/>
        <v/>
      </c>
      <c r="M431" s="84">
        <f>N381</f>
        <v>0</v>
      </c>
      <c r="N431" s="84">
        <f t="shared" si="125"/>
        <v>0</v>
      </c>
      <c r="O431" s="110" t="str">
        <f t="shared" si="126"/>
        <v/>
      </c>
      <c r="P431" s="87">
        <f t="shared" si="127"/>
        <v>0</v>
      </c>
    </row>
    <row r="432" spans="1:20" s="80" customFormat="1">
      <c r="C432" s="82" t="s">
        <v>156</v>
      </c>
      <c r="D432" s="83">
        <f>G392</f>
        <v>0</v>
      </c>
      <c r="E432" s="84">
        <f t="shared" si="121"/>
        <v>0</v>
      </c>
      <c r="F432" s="191" t="str">
        <f t="shared" si="122"/>
        <v/>
      </c>
      <c r="I432" s="84">
        <f>K392</f>
        <v>0</v>
      </c>
      <c r="J432" s="84">
        <f t="shared" si="123"/>
        <v>0</v>
      </c>
      <c r="K432" s="135" t="str">
        <f t="shared" si="124"/>
        <v/>
      </c>
      <c r="M432" s="84">
        <f>N392</f>
        <v>0</v>
      </c>
      <c r="N432" s="84">
        <f t="shared" si="125"/>
        <v>0</v>
      </c>
      <c r="O432" s="110" t="str">
        <f t="shared" si="126"/>
        <v/>
      </c>
      <c r="P432" s="87">
        <f t="shared" si="127"/>
        <v>0</v>
      </c>
    </row>
    <row r="433" spans="1:16" s="80" customFormat="1">
      <c r="C433" s="82" t="s">
        <v>81</v>
      </c>
      <c r="D433" s="83">
        <f>G405</f>
        <v>0</v>
      </c>
      <c r="E433" s="84">
        <f t="shared" si="121"/>
        <v>0</v>
      </c>
      <c r="F433" s="191" t="str">
        <f t="shared" si="122"/>
        <v/>
      </c>
      <c r="I433" s="84">
        <f>K405</f>
        <v>0</v>
      </c>
      <c r="J433" s="84">
        <f t="shared" si="123"/>
        <v>0</v>
      </c>
      <c r="K433" s="135" t="str">
        <f t="shared" si="124"/>
        <v/>
      </c>
      <c r="M433" s="84">
        <f>N405</f>
        <v>0</v>
      </c>
      <c r="N433" s="84">
        <f t="shared" si="125"/>
        <v>0</v>
      </c>
      <c r="O433" s="110" t="str">
        <f t="shared" si="126"/>
        <v/>
      </c>
      <c r="P433" s="87">
        <f t="shared" si="127"/>
        <v>0</v>
      </c>
    </row>
    <row r="434" spans="1:16" s="80" customFormat="1">
      <c r="C434" s="88" t="s">
        <v>121</v>
      </c>
      <c r="D434" s="89">
        <f>G420</f>
        <v>0</v>
      </c>
      <c r="E434" s="84">
        <f t="shared" si="121"/>
        <v>0</v>
      </c>
      <c r="F434" s="191" t="str">
        <f t="shared" si="122"/>
        <v/>
      </c>
      <c r="I434" s="84">
        <f>K420</f>
        <v>0</v>
      </c>
      <c r="J434" s="84">
        <f t="shared" si="123"/>
        <v>0</v>
      </c>
      <c r="K434" s="135" t="str">
        <f t="shared" si="124"/>
        <v/>
      </c>
      <c r="M434" s="84">
        <f>N420</f>
        <v>0</v>
      </c>
      <c r="N434" s="84">
        <f t="shared" si="125"/>
        <v>0</v>
      </c>
      <c r="O434" s="110" t="str">
        <f t="shared" si="126"/>
        <v/>
      </c>
      <c r="P434" s="87">
        <f t="shared" si="127"/>
        <v>0</v>
      </c>
    </row>
    <row r="435" spans="1:16" s="79" customFormat="1">
      <c r="C435" s="65" t="s">
        <v>12</v>
      </c>
      <c r="D435" s="67">
        <f>SUM(D429:D434)</f>
        <v>0</v>
      </c>
      <c r="E435" s="67">
        <f>SUM(E429:E434)</f>
        <v>0</v>
      </c>
      <c r="F435" s="92">
        <f>SUM(F429:F434)</f>
        <v>0</v>
      </c>
      <c r="H435" s="15"/>
      <c r="I435" s="62">
        <f>SUM(I429:I434)</f>
        <v>0</v>
      </c>
      <c r="J435" s="67">
        <f>SUM(J429:J434)</f>
        <v>0</v>
      </c>
      <c r="K435" s="90" t="str">
        <f t="shared" si="124"/>
        <v/>
      </c>
      <c r="L435" s="15"/>
      <c r="M435" s="62">
        <f>SUM(M429:M434)</f>
        <v>0</v>
      </c>
      <c r="N435" s="62">
        <f>SUM(N429:N434)</f>
        <v>0</v>
      </c>
      <c r="O435" s="90" t="str">
        <f t="shared" si="126"/>
        <v/>
      </c>
      <c r="P435" s="62">
        <f>SUM(P429:P434)</f>
        <v>0</v>
      </c>
    </row>
    <row r="436" spans="1:16" s="79" customFormat="1">
      <c r="A436" s="80"/>
      <c r="B436" s="80"/>
      <c r="C436" s="80"/>
      <c r="D436" s="80"/>
      <c r="E436" s="134"/>
      <c r="F436" s="138"/>
      <c r="G436" s="172"/>
      <c r="H436" s="80"/>
      <c r="I436" s="134"/>
      <c r="J436" s="80"/>
      <c r="K436" s="134"/>
      <c r="L436" s="15"/>
      <c r="N436" s="107"/>
    </row>
    <row r="437" spans="1:16" s="79" customFormat="1">
      <c r="D437" s="107"/>
      <c r="E437" s="139"/>
      <c r="G437" s="107"/>
      <c r="I437" s="107"/>
      <c r="J437" s="107"/>
      <c r="K437" s="107"/>
      <c r="L437" s="107"/>
      <c r="N437" s="107"/>
    </row>
    <row r="438" spans="1:16" s="79" customFormat="1">
      <c r="D438" s="107"/>
      <c r="E438" s="139"/>
      <c r="G438" s="107"/>
      <c r="I438" s="107"/>
      <c r="J438" s="107"/>
      <c r="K438" s="107"/>
      <c r="L438" s="107"/>
      <c r="N438" s="107"/>
    </row>
    <row r="439" spans="1:16" s="79" customFormat="1">
      <c r="D439" s="107"/>
      <c r="E439" s="139"/>
      <c r="G439" s="107"/>
      <c r="I439" s="107"/>
      <c r="J439" s="107"/>
      <c r="K439" s="107"/>
      <c r="L439" s="107"/>
      <c r="N439" s="107"/>
    </row>
    <row r="440" spans="1:16" s="9" customFormat="1">
      <c r="D440" s="97"/>
      <c r="G440" s="97"/>
      <c r="K440" s="97"/>
      <c r="N440" s="97"/>
    </row>
    <row r="441" spans="1:16" s="9" customFormat="1">
      <c r="D441" s="97"/>
      <c r="G441" s="97"/>
      <c r="K441" s="97"/>
      <c r="N441" s="97"/>
    </row>
    <row r="442" spans="1:16" s="9" customFormat="1">
      <c r="D442" s="97"/>
      <c r="G442" s="97"/>
      <c r="K442" s="97"/>
      <c r="N442" s="97"/>
    </row>
    <row r="443" spans="1:16" s="9" customFormat="1">
      <c r="G443" s="97"/>
      <c r="K443" s="97"/>
      <c r="N443" s="97"/>
    </row>
    <row r="444" spans="1:16" s="9" customFormat="1">
      <c r="G444" s="97"/>
      <c r="K444" s="97"/>
      <c r="N444" s="97"/>
    </row>
    <row r="445" spans="1:16" s="9" customFormat="1">
      <c r="G445" s="97"/>
      <c r="K445" s="97"/>
      <c r="N445" s="97"/>
    </row>
    <row r="446" spans="1:16" s="9" customFormat="1">
      <c r="G446" s="97"/>
      <c r="K446" s="97"/>
      <c r="N446" s="97"/>
    </row>
    <row r="447" spans="1:16" s="9" customFormat="1">
      <c r="G447" s="97"/>
      <c r="K447" s="97"/>
      <c r="N447" s="97"/>
    </row>
    <row r="448" spans="1:16" s="9" customFormat="1">
      <c r="G448" s="97"/>
      <c r="K448" s="97"/>
      <c r="N448" s="97"/>
    </row>
    <row r="449" spans="7:14" s="9" customFormat="1">
      <c r="G449" s="97"/>
      <c r="K449" s="97"/>
      <c r="N449" s="97"/>
    </row>
    <row r="450" spans="7:14" s="9" customFormat="1">
      <c r="G450" s="97"/>
      <c r="K450" s="97"/>
      <c r="N450" s="97"/>
    </row>
    <row r="451" spans="7:14" s="9" customFormat="1">
      <c r="G451" s="97"/>
      <c r="K451" s="97"/>
      <c r="N451" s="97"/>
    </row>
    <row r="452" spans="7:14" s="9" customFormat="1">
      <c r="G452" s="97"/>
      <c r="K452" s="97"/>
      <c r="N452" s="97"/>
    </row>
    <row r="453" spans="7:14" s="9" customFormat="1">
      <c r="G453" s="97"/>
      <c r="K453" s="97"/>
      <c r="N453" s="97"/>
    </row>
    <row r="454" spans="7:14" s="9" customFormat="1">
      <c r="G454" s="97"/>
      <c r="K454" s="97"/>
      <c r="N454" s="97"/>
    </row>
    <row r="455" spans="7:14" s="9" customFormat="1">
      <c r="G455" s="97"/>
      <c r="K455" s="97"/>
      <c r="N455" s="97"/>
    </row>
    <row r="456" spans="7:14" s="9" customFormat="1">
      <c r="G456" s="97"/>
      <c r="K456" s="97"/>
      <c r="N456" s="97"/>
    </row>
    <row r="457" spans="7:14" s="9" customFormat="1">
      <c r="G457" s="97"/>
      <c r="K457" s="97"/>
      <c r="N457" s="97"/>
    </row>
    <row r="458" spans="7:14" s="9" customFormat="1">
      <c r="G458" s="97"/>
      <c r="K458" s="97"/>
      <c r="N458" s="97"/>
    </row>
    <row r="459" spans="7:14" s="9" customFormat="1">
      <c r="G459" s="97"/>
      <c r="K459" s="97"/>
      <c r="N459" s="97"/>
    </row>
    <row r="460" spans="7:14" s="9" customFormat="1">
      <c r="G460" s="97"/>
      <c r="K460" s="97"/>
      <c r="N460" s="97"/>
    </row>
    <row r="461" spans="7:14" s="9" customFormat="1">
      <c r="G461" s="97"/>
      <c r="K461" s="97"/>
      <c r="N461" s="97"/>
    </row>
    <row r="462" spans="7:14" s="9" customFormat="1">
      <c r="G462" s="97"/>
      <c r="K462" s="97"/>
      <c r="N462" s="97"/>
    </row>
    <row r="463" spans="7:14" s="9" customFormat="1">
      <c r="G463" s="97"/>
      <c r="K463" s="97"/>
      <c r="N463" s="97"/>
    </row>
    <row r="464" spans="7:14" s="9" customFormat="1">
      <c r="G464" s="97"/>
      <c r="K464" s="97"/>
      <c r="N464" s="97"/>
    </row>
    <row r="465" spans="3:19" s="9" customFormat="1">
      <c r="G465" s="97"/>
      <c r="K465" s="97"/>
      <c r="N465" s="97"/>
    </row>
    <row r="466" spans="3:19" s="9" customFormat="1">
      <c r="G466" s="97"/>
      <c r="K466" s="97"/>
      <c r="N466" s="97"/>
    </row>
    <row r="467" spans="3:19" s="9" customFormat="1">
      <c r="G467" s="97"/>
      <c r="K467" s="97"/>
      <c r="N467" s="97"/>
    </row>
    <row r="468" spans="3:19" s="9" customFormat="1">
      <c r="G468" s="97"/>
      <c r="K468" s="97"/>
      <c r="N468" s="97"/>
    </row>
    <row r="469" spans="3:19" s="9" customFormat="1">
      <c r="G469" s="97"/>
      <c r="K469" s="97"/>
      <c r="N469" s="97"/>
    </row>
    <row r="470" spans="3:19" s="9" customFormat="1">
      <c r="G470" s="97"/>
      <c r="K470" s="97"/>
      <c r="N470" s="97"/>
    </row>
    <row r="471" spans="3:19" s="9" customFormat="1">
      <c r="D471" s="97"/>
      <c r="G471" s="97"/>
      <c r="K471" s="97"/>
      <c r="N471" s="97"/>
    </row>
    <row r="472" spans="3:19" s="9" customFormat="1">
      <c r="G472" s="97"/>
      <c r="K472" s="97"/>
      <c r="N472" s="97"/>
    </row>
    <row r="473" spans="3:19" s="14" customFormat="1" ht="23.25">
      <c r="C473" s="702" t="s">
        <v>88</v>
      </c>
      <c r="D473" s="702"/>
      <c r="E473" s="702"/>
      <c r="F473" s="702"/>
      <c r="G473" s="702"/>
      <c r="H473" s="702"/>
      <c r="I473" s="702"/>
      <c r="J473" s="702"/>
      <c r="K473" s="703"/>
      <c r="L473" s="703"/>
      <c r="N473" s="13"/>
    </row>
    <row r="474" spans="3:19" s="9" customFormat="1" ht="28.5" customHeight="1">
      <c r="G474" s="97"/>
      <c r="K474" s="97"/>
      <c r="N474" s="97"/>
    </row>
    <row r="475" spans="3:19" s="14" customFormat="1">
      <c r="E475" s="15" t="s">
        <v>376</v>
      </c>
      <c r="G475" s="13"/>
      <c r="K475" s="13"/>
      <c r="N475" s="13"/>
    </row>
    <row r="476" spans="3:19" s="14" customFormat="1">
      <c r="G476" s="13"/>
      <c r="K476" s="13"/>
      <c r="N476" s="13"/>
    </row>
    <row r="477" spans="3:19" s="14" customFormat="1">
      <c r="C477" s="358" t="s">
        <v>157</v>
      </c>
      <c r="F477" s="76" t="s">
        <v>358</v>
      </c>
      <c r="H477" s="244" t="s">
        <v>65</v>
      </c>
      <c r="I477" s="244"/>
      <c r="J477" s="244"/>
      <c r="K477" s="141"/>
      <c r="L477" s="246" t="s">
        <v>393</v>
      </c>
      <c r="M477" s="246"/>
      <c r="O477" s="15" t="s">
        <v>115</v>
      </c>
    </row>
    <row r="478" spans="3:19" s="14" customFormat="1">
      <c r="C478" s="297" t="s">
        <v>109</v>
      </c>
      <c r="D478" s="297" t="s">
        <v>395</v>
      </c>
      <c r="E478" s="362" t="s">
        <v>265</v>
      </c>
      <c r="F478" s="296" t="s">
        <v>265</v>
      </c>
      <c r="H478" s="297" t="s">
        <v>329</v>
      </c>
      <c r="I478" s="297" t="s">
        <v>330</v>
      </c>
      <c r="J478" s="442" t="s">
        <v>265</v>
      </c>
      <c r="K478" s="141"/>
      <c r="L478" s="297" t="s">
        <v>331</v>
      </c>
      <c r="M478" s="442" t="s">
        <v>265</v>
      </c>
      <c r="O478" s="666" t="s">
        <v>167</v>
      </c>
      <c r="P478" s="667"/>
      <c r="Q478" s="667"/>
      <c r="R478" s="667"/>
      <c r="S478" s="668"/>
    </row>
    <row r="479" spans="3:19" s="14" customFormat="1">
      <c r="C479" s="53" t="s">
        <v>213</v>
      </c>
      <c r="D479" s="286"/>
      <c r="E479" s="401">
        <f>_xlfn.IFNA(VLOOKUP($C479,'Facteurs d''émission'!$D$2:$I$344,2,FALSE),"Non renseigné")</f>
        <v>1914</v>
      </c>
      <c r="F479" s="5">
        <f t="shared" ref="F479:F484" si="128">D479*E479</f>
        <v>0</v>
      </c>
      <c r="H479" s="400">
        <f>_xlfn.IFNA(VLOOKUP($C479,'Facteurs d''émission'!$D$2:$I$344,4,FALSE),"Non présent dans la base")</f>
        <v>0.5</v>
      </c>
      <c r="I479" s="291"/>
      <c r="J479" s="5">
        <f t="shared" ref="J479:J484" si="129">F479*(1-(1-H479)*(1-I479))</f>
        <v>0</v>
      </c>
      <c r="K479" s="14" t="str">
        <f t="shared" ref="K479:K484" si="130">IF(D479*COUNTA(I479)&gt;0,"ok","")</f>
        <v/>
      </c>
      <c r="L479" s="292"/>
      <c r="M479" s="5">
        <f t="shared" ref="M479:M484" si="131">L479*F479</f>
        <v>0</v>
      </c>
      <c r="O479" s="321"/>
      <c r="P479" s="322"/>
      <c r="Q479" s="322"/>
      <c r="R479" s="322"/>
      <c r="S479" s="323"/>
    </row>
    <row r="480" spans="3:19" s="14" customFormat="1">
      <c r="C480" s="17" t="s">
        <v>69</v>
      </c>
      <c r="D480" s="286"/>
      <c r="E480" s="401">
        <f>_xlfn.IFNA(VLOOKUP($C480,'Facteurs d''émission'!$D$2:$I$344,2,FALSE),"Non renseigné")</f>
        <v>3827</v>
      </c>
      <c r="F480" s="5">
        <f t="shared" si="128"/>
        <v>0</v>
      </c>
      <c r="H480" s="400">
        <f>_xlfn.IFNA(VLOOKUP($C480,'Facteurs d''émission'!$D$2:$I$344,4,FALSE),"Non présent dans la base")</f>
        <v>0.5</v>
      </c>
      <c r="I480" s="291"/>
      <c r="J480" s="5">
        <f t="shared" si="129"/>
        <v>0</v>
      </c>
      <c r="K480" s="14" t="str">
        <f t="shared" si="130"/>
        <v/>
      </c>
      <c r="L480" s="292"/>
      <c r="M480" s="5">
        <f t="shared" si="131"/>
        <v>0</v>
      </c>
      <c r="O480" s="321"/>
      <c r="P480" s="322"/>
      <c r="Q480" s="322"/>
      <c r="R480" s="322"/>
      <c r="S480" s="323"/>
    </row>
    <row r="481" spans="3:19" s="14" customFormat="1">
      <c r="C481" s="17" t="s">
        <v>215</v>
      </c>
      <c r="D481" s="286"/>
      <c r="E481" s="401">
        <f>_xlfn.IFNA(VLOOKUP($C481,'Facteurs d''émission'!$D$2:$I$344,2,FALSE),"Non renseigné")</f>
        <v>55000</v>
      </c>
      <c r="F481" s="5">
        <f t="shared" si="128"/>
        <v>0</v>
      </c>
      <c r="H481" s="400">
        <f>_xlfn.IFNA(VLOOKUP($C481,'Facteurs d''émission'!$D$2:$I$344,4,FALSE),"Non présent dans la base")</f>
        <v>0.3</v>
      </c>
      <c r="I481" s="291"/>
      <c r="J481" s="5">
        <f t="shared" si="129"/>
        <v>0</v>
      </c>
      <c r="K481" s="14" t="str">
        <f t="shared" si="130"/>
        <v/>
      </c>
      <c r="L481" s="292"/>
      <c r="M481" s="5">
        <f t="shared" si="131"/>
        <v>0</v>
      </c>
      <c r="O481" s="321"/>
      <c r="P481" s="322"/>
      <c r="Q481" s="322"/>
      <c r="R481" s="322"/>
      <c r="S481" s="323"/>
    </row>
    <row r="482" spans="3:19" s="14" customFormat="1">
      <c r="C482" s="17" t="s">
        <v>216</v>
      </c>
      <c r="D482" s="286"/>
      <c r="E482" s="401">
        <f>_xlfn.IFNA(VLOOKUP($C482,'Facteurs d''émission'!$D$2:$I$344,2,FALSE),"Non renseigné")</f>
        <v>7360</v>
      </c>
      <c r="F482" s="5">
        <f t="shared" si="128"/>
        <v>0</v>
      </c>
      <c r="H482" s="400">
        <f>_xlfn.IFNA(VLOOKUP($C482,'Facteurs d''émission'!$D$2:$I$344,4,FALSE),"Non présent dans la base")</f>
        <v>0.3</v>
      </c>
      <c r="I482" s="291"/>
      <c r="J482" s="5">
        <f t="shared" si="129"/>
        <v>0</v>
      </c>
      <c r="K482" s="14" t="str">
        <f t="shared" si="130"/>
        <v/>
      </c>
      <c r="L482" s="292"/>
      <c r="M482" s="5">
        <f t="shared" si="131"/>
        <v>0</v>
      </c>
      <c r="O482" s="321"/>
      <c r="P482" s="322"/>
      <c r="Q482" s="322"/>
      <c r="R482" s="322"/>
      <c r="S482" s="323"/>
    </row>
    <row r="483" spans="3:19" s="14" customFormat="1">
      <c r="C483" s="3" t="s">
        <v>306</v>
      </c>
      <c r="D483" s="286"/>
      <c r="E483" s="401">
        <f>_xlfn.IFNA(VLOOKUP($C483,'Facteurs d''émission'!$D$2:$I$344,2,FALSE),"Non renseigné")</f>
        <v>35800</v>
      </c>
      <c r="F483" s="5">
        <f t="shared" si="128"/>
        <v>0</v>
      </c>
      <c r="H483" s="400">
        <f>_xlfn.IFNA(VLOOKUP($C483,'Facteurs d''émission'!$D$2:$I$344,4,FALSE),"Non présent dans la base")</f>
        <v>0.3</v>
      </c>
      <c r="I483" s="291"/>
      <c r="J483" s="5">
        <f t="shared" si="129"/>
        <v>0</v>
      </c>
      <c r="K483" s="14" t="str">
        <f t="shared" si="130"/>
        <v/>
      </c>
      <c r="L483" s="292"/>
      <c r="M483" s="5">
        <f t="shared" si="131"/>
        <v>0</v>
      </c>
      <c r="O483" s="321"/>
      <c r="P483" s="322"/>
      <c r="Q483" s="322"/>
      <c r="R483" s="322"/>
      <c r="S483" s="323"/>
    </row>
    <row r="484" spans="3:19" s="14" customFormat="1">
      <c r="C484" s="17" t="s">
        <v>217</v>
      </c>
      <c r="D484" s="286"/>
      <c r="E484" s="401">
        <f>_xlfn.IFNA(VLOOKUP($C484,'Facteurs d''émission'!$D$2:$I$344,2,FALSE),"Non renseigné")</f>
        <v>20500</v>
      </c>
      <c r="F484" s="5">
        <f t="shared" si="128"/>
        <v>0</v>
      </c>
      <c r="H484" s="400">
        <f>_xlfn.IFNA(VLOOKUP($C484,'Facteurs d''émission'!$D$2:$I$344,4,FALSE),"Non présent dans la base")</f>
        <v>0.3</v>
      </c>
      <c r="I484" s="291"/>
      <c r="J484" s="5">
        <f t="shared" si="129"/>
        <v>0</v>
      </c>
      <c r="K484" s="14" t="str">
        <f t="shared" si="130"/>
        <v/>
      </c>
      <c r="L484" s="292"/>
      <c r="M484" s="5">
        <f t="shared" si="131"/>
        <v>0</v>
      </c>
      <c r="O484" s="321"/>
      <c r="P484" s="322"/>
      <c r="Q484" s="322"/>
      <c r="R484" s="322"/>
      <c r="S484" s="323"/>
    </row>
    <row r="485" spans="3:19" s="14" customFormat="1">
      <c r="C485" s="17" t="s">
        <v>218</v>
      </c>
      <c r="D485" s="286"/>
      <c r="E485" s="401">
        <f>_xlfn.IFNA(VLOOKUP($C485,'Facteurs d''émission'!$D$2:$I$344,2,FALSE),"Non renseigné")</f>
        <v>2029.9999999999998</v>
      </c>
      <c r="F485" s="5">
        <f t="shared" ref="F485:F491" si="132">D485*E485</f>
        <v>0</v>
      </c>
      <c r="H485" s="400">
        <f>_xlfn.IFNA(VLOOKUP($C485,'Facteurs d''émission'!$D$2:$I$344,4,FALSE),"Non présent dans la base")</f>
        <v>0.3</v>
      </c>
      <c r="I485" s="291"/>
      <c r="J485" s="5">
        <f t="shared" ref="J485:J491" si="133">F485*(1-(1-H485)*(1-I485))</f>
        <v>0</v>
      </c>
      <c r="K485" s="14" t="str">
        <f t="shared" ref="K485:K491" si="134">IF(D485*COUNTA(I485)&gt;0,"ok","")</f>
        <v/>
      </c>
      <c r="L485" s="292"/>
      <c r="M485" s="5">
        <f t="shared" ref="M485:M491" si="135">L485*F485</f>
        <v>0</v>
      </c>
      <c r="O485" s="321"/>
      <c r="P485" s="322"/>
      <c r="Q485" s="322"/>
      <c r="R485" s="322"/>
      <c r="S485" s="323"/>
    </row>
    <row r="486" spans="3:19" s="14" customFormat="1">
      <c r="C486" s="17" t="s">
        <v>357</v>
      </c>
      <c r="D486" s="286"/>
      <c r="E486" s="401">
        <f>_xlfn.IFNA(VLOOKUP($C486,'Facteurs d''émission'!$D$2:$I$344,2,FALSE),"Non renseigné")</f>
        <v>0</v>
      </c>
      <c r="F486" s="5">
        <f t="shared" si="132"/>
        <v>0</v>
      </c>
      <c r="H486" s="400">
        <f>_xlfn.IFNA(VLOOKUP($C486,'Facteurs d''émission'!$D$2:$I$344,4,FALSE),"Non présent dans la base")</f>
        <v>0</v>
      </c>
      <c r="I486" s="291"/>
      <c r="J486" s="5">
        <f t="shared" si="133"/>
        <v>0</v>
      </c>
      <c r="K486" s="14" t="str">
        <f t="shared" si="134"/>
        <v/>
      </c>
      <c r="L486" s="292"/>
      <c r="M486" s="5">
        <f t="shared" si="135"/>
        <v>0</v>
      </c>
      <c r="O486" s="321"/>
      <c r="P486" s="322"/>
      <c r="Q486" s="322"/>
      <c r="R486" s="322"/>
      <c r="S486" s="323"/>
    </row>
    <row r="487" spans="3:19" s="14" customFormat="1">
      <c r="C487" s="17" t="s">
        <v>357</v>
      </c>
      <c r="D487" s="286"/>
      <c r="E487" s="401">
        <f>_xlfn.IFNA(VLOOKUP($C487,'Facteurs d''émission'!$D$2:$I$344,2,FALSE),"Non renseigné")</f>
        <v>0</v>
      </c>
      <c r="F487" s="5">
        <f t="shared" si="132"/>
        <v>0</v>
      </c>
      <c r="H487" s="400">
        <f>_xlfn.IFNA(VLOOKUP($C487,'Facteurs d''émission'!$D$2:$I$344,4,FALSE),"Non présent dans la base")</f>
        <v>0</v>
      </c>
      <c r="I487" s="291"/>
      <c r="J487" s="5">
        <f t="shared" si="133"/>
        <v>0</v>
      </c>
      <c r="K487" s="14" t="str">
        <f t="shared" si="134"/>
        <v/>
      </c>
      <c r="L487" s="292"/>
      <c r="M487" s="5">
        <f t="shared" si="135"/>
        <v>0</v>
      </c>
      <c r="O487" s="321"/>
      <c r="P487" s="322"/>
      <c r="Q487" s="322"/>
      <c r="R487" s="322"/>
      <c r="S487" s="323"/>
    </row>
    <row r="488" spans="3:19" s="14" customFormat="1">
      <c r="C488" s="17" t="s">
        <v>357</v>
      </c>
      <c r="D488" s="286"/>
      <c r="E488" s="401">
        <f>_xlfn.IFNA(VLOOKUP($C488,'Facteurs d''émission'!$D$2:$I$344,2,FALSE),"Non renseigné")</f>
        <v>0</v>
      </c>
      <c r="F488" s="5">
        <f t="shared" si="132"/>
        <v>0</v>
      </c>
      <c r="H488" s="400">
        <f>_xlfn.IFNA(VLOOKUP($C488,'Facteurs d''émission'!$D$2:$I$344,4,FALSE),"Non présent dans la base")</f>
        <v>0</v>
      </c>
      <c r="I488" s="291"/>
      <c r="J488" s="5">
        <f t="shared" si="133"/>
        <v>0</v>
      </c>
      <c r="K488" s="14" t="str">
        <f t="shared" si="134"/>
        <v/>
      </c>
      <c r="L488" s="292"/>
      <c r="M488" s="5">
        <f t="shared" si="135"/>
        <v>0</v>
      </c>
      <c r="O488" s="321"/>
      <c r="P488" s="322"/>
      <c r="Q488" s="322"/>
      <c r="R488" s="322"/>
      <c r="S488" s="323"/>
    </row>
    <row r="489" spans="3:19" s="14" customFormat="1">
      <c r="C489" s="17" t="s">
        <v>357</v>
      </c>
      <c r="D489" s="286"/>
      <c r="E489" s="401">
        <f>_xlfn.IFNA(VLOOKUP($C489,'Facteurs d''émission'!$D$2:$I$344,2,FALSE),"Non renseigné")</f>
        <v>0</v>
      </c>
      <c r="F489" s="5">
        <f t="shared" si="132"/>
        <v>0</v>
      </c>
      <c r="H489" s="400">
        <f>_xlfn.IFNA(VLOOKUP($C489,'Facteurs d''émission'!$D$2:$I$344,4,FALSE),"Non présent dans la base")</f>
        <v>0</v>
      </c>
      <c r="I489" s="291"/>
      <c r="J489" s="5">
        <f t="shared" si="133"/>
        <v>0</v>
      </c>
      <c r="K489" s="14" t="str">
        <f t="shared" si="134"/>
        <v/>
      </c>
      <c r="L489" s="292"/>
      <c r="M489" s="5">
        <f t="shared" si="135"/>
        <v>0</v>
      </c>
      <c r="O489" s="321"/>
      <c r="P489" s="322"/>
      <c r="Q489" s="322"/>
      <c r="R489" s="322"/>
      <c r="S489" s="323"/>
    </row>
    <row r="490" spans="3:19" s="14" customFormat="1">
      <c r="C490" s="17" t="s">
        <v>357</v>
      </c>
      <c r="D490" s="286"/>
      <c r="E490" s="401">
        <f>_xlfn.IFNA(VLOOKUP($C490,'Facteurs d''émission'!$D$2:$I$344,2,FALSE),"Non renseigné")</f>
        <v>0</v>
      </c>
      <c r="F490" s="5">
        <f t="shared" si="132"/>
        <v>0</v>
      </c>
      <c r="H490" s="400">
        <f>_xlfn.IFNA(VLOOKUP($C490,'Facteurs d''émission'!$D$2:$I$344,4,FALSE),"Non présent dans la base")</f>
        <v>0</v>
      </c>
      <c r="I490" s="291"/>
      <c r="J490" s="5">
        <f t="shared" si="133"/>
        <v>0</v>
      </c>
      <c r="K490" s="14" t="str">
        <f t="shared" si="134"/>
        <v/>
      </c>
      <c r="L490" s="292"/>
      <c r="M490" s="5">
        <f t="shared" si="135"/>
        <v>0</v>
      </c>
      <c r="O490" s="321"/>
      <c r="P490" s="322"/>
      <c r="Q490" s="322"/>
      <c r="R490" s="322"/>
      <c r="S490" s="323"/>
    </row>
    <row r="491" spans="3:19" s="14" customFormat="1">
      <c r="C491" s="17" t="s">
        <v>357</v>
      </c>
      <c r="D491" s="286"/>
      <c r="E491" s="401">
        <f>_xlfn.IFNA(VLOOKUP($C491,'Facteurs d''émission'!$D$2:$I$344,2,FALSE),"Non renseigné")</f>
        <v>0</v>
      </c>
      <c r="F491" s="5">
        <f t="shared" si="132"/>
        <v>0</v>
      </c>
      <c r="H491" s="400">
        <f>_xlfn.IFNA(VLOOKUP($C491,'Facteurs d''émission'!$D$2:$I$344,4,FALSE),"Non présent dans la base")</f>
        <v>0</v>
      </c>
      <c r="I491" s="291"/>
      <c r="J491" s="5">
        <f t="shared" si="133"/>
        <v>0</v>
      </c>
      <c r="K491" s="14" t="str">
        <f t="shared" si="134"/>
        <v/>
      </c>
      <c r="L491" s="292"/>
      <c r="M491" s="5">
        <f t="shared" si="135"/>
        <v>0</v>
      </c>
      <c r="O491" s="321"/>
      <c r="P491" s="322"/>
      <c r="Q491" s="322"/>
      <c r="R491" s="322"/>
      <c r="S491" s="323"/>
    </row>
    <row r="492" spans="3:19" s="14" customFormat="1">
      <c r="C492" s="65" t="s">
        <v>26</v>
      </c>
      <c r="D492" s="66"/>
      <c r="E492" s="66"/>
      <c r="F492" s="67">
        <f>SUM(F479:F491)</f>
        <v>0</v>
      </c>
      <c r="H492" s="247" t="str">
        <f>IF(COUNTA(D479:D491)&gt;COUNTIF(K479:K491,"ok"),"! Remplir une incertitude !","")</f>
        <v/>
      </c>
      <c r="I492" s="248"/>
      <c r="J492" s="67">
        <f>SUM(J479:J491)</f>
        <v>0</v>
      </c>
      <c r="K492" s="141"/>
      <c r="L492" s="68"/>
      <c r="M492" s="67">
        <f>SUM(M479:M491)</f>
        <v>0</v>
      </c>
      <c r="O492" s="252" t="str">
        <f>IF(M492&gt;0,IF(#REF!="","Attention: vous devez planifier une action afin de remplir votre objectif",""),"")</f>
        <v/>
      </c>
      <c r="P492" s="252"/>
      <c r="Q492" s="252"/>
      <c r="R492" s="252"/>
      <c r="S492" s="252"/>
    </row>
    <row r="493" spans="3:19" s="14" customFormat="1" ht="21.75" customHeight="1">
      <c r="C493" s="141"/>
      <c r="D493" s="141"/>
      <c r="E493" s="141"/>
      <c r="F493" s="13"/>
      <c r="H493" s="141"/>
      <c r="I493" s="141"/>
      <c r="J493" s="13"/>
      <c r="K493" s="141"/>
      <c r="L493" s="141"/>
      <c r="M493" s="13"/>
    </row>
    <row r="494" spans="3:19" s="14" customFormat="1">
      <c r="C494" s="141"/>
      <c r="D494" s="141"/>
      <c r="E494" s="15" t="s">
        <v>413</v>
      </c>
      <c r="F494" s="13"/>
      <c r="H494" s="141"/>
      <c r="I494" s="141"/>
      <c r="J494" s="13"/>
      <c r="K494" s="141"/>
      <c r="L494" s="141"/>
      <c r="M494" s="13"/>
    </row>
    <row r="495" spans="3:19" s="14" customFormat="1">
      <c r="C495" s="141"/>
      <c r="D495" s="141"/>
      <c r="E495" s="141"/>
      <c r="F495" s="13"/>
      <c r="H495" s="141"/>
      <c r="I495" s="141"/>
      <c r="J495" s="13"/>
      <c r="K495" s="141"/>
      <c r="L495" s="141"/>
      <c r="M495" s="13"/>
    </row>
    <row r="496" spans="3:19" s="14" customFormat="1">
      <c r="C496" s="358" t="s">
        <v>158</v>
      </c>
      <c r="F496" s="76" t="s">
        <v>358</v>
      </c>
      <c r="H496" s="244" t="s">
        <v>65</v>
      </c>
      <c r="I496" s="244"/>
      <c r="J496" s="244"/>
      <c r="K496" s="141"/>
      <c r="L496" s="246" t="s">
        <v>393</v>
      </c>
      <c r="M496" s="246"/>
      <c r="O496" s="15" t="s">
        <v>115</v>
      </c>
    </row>
    <row r="497" spans="3:19" s="14" customFormat="1">
      <c r="C497" s="297" t="s">
        <v>109</v>
      </c>
      <c r="D497" s="297" t="s">
        <v>395</v>
      </c>
      <c r="E497" s="362" t="s">
        <v>265</v>
      </c>
      <c r="F497" s="296" t="s">
        <v>265</v>
      </c>
      <c r="H497" s="297" t="s">
        <v>329</v>
      </c>
      <c r="I497" s="297" t="s">
        <v>330</v>
      </c>
      <c r="J497" s="442" t="s">
        <v>265</v>
      </c>
      <c r="K497" s="141"/>
      <c r="L497" s="297" t="s">
        <v>331</v>
      </c>
      <c r="M497" s="442" t="s">
        <v>265</v>
      </c>
      <c r="O497" s="666" t="s">
        <v>167</v>
      </c>
      <c r="P497" s="667"/>
      <c r="Q497" s="667"/>
      <c r="R497" s="667"/>
      <c r="S497" s="668"/>
    </row>
    <row r="498" spans="3:19" s="14" customFormat="1">
      <c r="C498" s="17" t="s">
        <v>214</v>
      </c>
      <c r="D498" s="310"/>
      <c r="E498" s="401">
        <f>_xlfn.IFNA(VLOOKUP($C498,'Facteurs d''émission'!$D$2:$I$344,2,FALSE),"Non renseigné")</f>
        <v>9490</v>
      </c>
      <c r="F498" s="5">
        <f t="shared" ref="F498:F510" si="136">D498*E498</f>
        <v>0</v>
      </c>
      <c r="H498" s="400">
        <f>_xlfn.IFNA(VLOOKUP($C498,'Facteurs d''émission'!$D$2:$I$344,4,FALSE),"Non présent dans la base")</f>
        <v>0.3</v>
      </c>
      <c r="I498" s="291"/>
      <c r="J498" s="5">
        <f t="shared" ref="J498:J510" si="137">F498*(1-(1-H498)*(1-I498))</f>
        <v>0</v>
      </c>
      <c r="K498" s="14" t="str">
        <f>IF(D498*COUNTA(I498)&gt;0,"ok","")</f>
        <v/>
      </c>
      <c r="L498" s="292"/>
      <c r="M498" s="5">
        <f t="shared" ref="M498:M510" si="138">L498*F498</f>
        <v>0</v>
      </c>
      <c r="O498" s="321"/>
      <c r="P498" s="322"/>
      <c r="Q498" s="322"/>
      <c r="R498" s="322"/>
      <c r="S498" s="323"/>
    </row>
    <row r="499" spans="3:19" s="14" customFormat="1">
      <c r="C499" s="17" t="s">
        <v>219</v>
      </c>
      <c r="D499" s="310"/>
      <c r="E499" s="401">
        <f>_xlfn.IFNA(VLOOKUP($C499,'Facteurs d''émission'!$D$2:$I$344,2,FALSE),"Non renseigné")</f>
        <v>5600</v>
      </c>
      <c r="F499" s="5">
        <f t="shared" si="136"/>
        <v>0</v>
      </c>
      <c r="H499" s="400">
        <f>_xlfn.IFNA(VLOOKUP($C499,'Facteurs d''émission'!$D$2:$I$344,4,FALSE),"Non présent dans la base")</f>
        <v>0.3</v>
      </c>
      <c r="I499" s="291"/>
      <c r="J499" s="5">
        <f t="shared" si="137"/>
        <v>0</v>
      </c>
      <c r="K499" s="14" t="str">
        <f>IF(D499*COUNTA(I499)&gt;0,"ok","")</f>
        <v/>
      </c>
      <c r="L499" s="292"/>
      <c r="M499" s="5">
        <f t="shared" si="138"/>
        <v>0</v>
      </c>
      <c r="O499" s="321"/>
      <c r="P499" s="322"/>
      <c r="Q499" s="322"/>
      <c r="R499" s="322"/>
      <c r="S499" s="323"/>
    </row>
    <row r="500" spans="3:19" s="14" customFormat="1">
      <c r="C500" s="17" t="s">
        <v>307</v>
      </c>
      <c r="D500" s="310"/>
      <c r="E500" s="401">
        <f>_xlfn.IFNA(VLOOKUP($C500,'Facteurs d''émission'!$D$2:$I$344,2,FALSE),"Non renseigné")</f>
        <v>4800</v>
      </c>
      <c r="F500" s="5">
        <f t="shared" si="136"/>
        <v>0</v>
      </c>
      <c r="H500" s="400">
        <f>_xlfn.IFNA(VLOOKUP($C500,'Facteurs d''émission'!$D$2:$I$344,4,FALSE),"Non présent dans la base")</f>
        <v>0.3</v>
      </c>
      <c r="I500" s="291"/>
      <c r="J500" s="5">
        <f t="shared" si="137"/>
        <v>0</v>
      </c>
      <c r="L500" s="292"/>
      <c r="M500" s="5">
        <f t="shared" si="138"/>
        <v>0</v>
      </c>
      <c r="O500" s="321"/>
      <c r="P500" s="322"/>
      <c r="Q500" s="322"/>
      <c r="R500" s="322"/>
      <c r="S500" s="323"/>
    </row>
    <row r="501" spans="3:19" s="14" customFormat="1">
      <c r="C501" s="17" t="s">
        <v>220</v>
      </c>
      <c r="D501" s="310"/>
      <c r="E501" s="401">
        <f>_xlfn.IFNA(VLOOKUP($C501,'Facteurs d''émission'!$D$2:$I$344,2,FALSE),"Non renseigné")</f>
        <v>3610</v>
      </c>
      <c r="F501" s="5">
        <f t="shared" si="136"/>
        <v>0</v>
      </c>
      <c r="H501" s="400">
        <f>_xlfn.IFNA(VLOOKUP($C501,'Facteurs d''émission'!$D$2:$I$344,4,FALSE),"Non présent dans la base")</f>
        <v>0.3</v>
      </c>
      <c r="I501" s="291"/>
      <c r="J501" s="5">
        <f t="shared" si="137"/>
        <v>0</v>
      </c>
      <c r="K501" s="14" t="str">
        <f t="shared" ref="K501:K510" si="139">IF(D501*COUNTA(I501)&gt;0,"ok","")</f>
        <v/>
      </c>
      <c r="L501" s="292"/>
      <c r="M501" s="5">
        <f t="shared" si="138"/>
        <v>0</v>
      </c>
      <c r="O501" s="321"/>
      <c r="P501" s="322"/>
      <c r="Q501" s="322"/>
      <c r="R501" s="322"/>
      <c r="S501" s="323"/>
    </row>
    <row r="502" spans="3:19" s="14" customFormat="1">
      <c r="C502" s="17" t="s">
        <v>267</v>
      </c>
      <c r="D502" s="310"/>
      <c r="E502" s="401">
        <f>_xlfn.IFNA(VLOOKUP($C502,'Facteurs d''émission'!$D$2:$I$344,2,FALSE),"Non renseigné")</f>
        <v>2880</v>
      </c>
      <c r="F502" s="5">
        <f t="shared" si="136"/>
        <v>0</v>
      </c>
      <c r="H502" s="400">
        <f>_xlfn.IFNA(VLOOKUP($C502,'Facteurs d''émission'!$D$2:$I$344,4,FALSE),"Non présent dans la base")</f>
        <v>0.3</v>
      </c>
      <c r="I502" s="291"/>
      <c r="J502" s="5">
        <f t="shared" si="137"/>
        <v>0</v>
      </c>
      <c r="K502" s="14" t="str">
        <f t="shared" si="139"/>
        <v/>
      </c>
      <c r="L502" s="292"/>
      <c r="M502" s="5">
        <f t="shared" si="138"/>
        <v>0</v>
      </c>
      <c r="O502" s="321"/>
      <c r="P502" s="322"/>
      <c r="Q502" s="322"/>
      <c r="R502" s="322"/>
      <c r="S502" s="323"/>
    </row>
    <row r="503" spans="3:19" s="14" customFormat="1">
      <c r="C503" s="17" t="s">
        <v>221</v>
      </c>
      <c r="D503" s="310"/>
      <c r="E503" s="401">
        <f>_xlfn.IFNA(VLOOKUP($C503,'Facteurs d''émission'!$D$2:$I$344,2,FALSE),"Non renseigné")</f>
        <v>1520</v>
      </c>
      <c r="F503" s="5">
        <f t="shared" si="136"/>
        <v>0</v>
      </c>
      <c r="H503" s="400">
        <f>_xlfn.IFNA(VLOOKUP($C503,'Facteurs d''émission'!$D$2:$I$344,4,FALSE),"Non présent dans la base")</f>
        <v>0.3</v>
      </c>
      <c r="I503" s="291"/>
      <c r="J503" s="5">
        <f t="shared" si="137"/>
        <v>0</v>
      </c>
      <c r="K503" s="14" t="str">
        <f t="shared" si="139"/>
        <v/>
      </c>
      <c r="L503" s="292"/>
      <c r="M503" s="5">
        <f t="shared" si="138"/>
        <v>0</v>
      </c>
      <c r="O503" s="321"/>
      <c r="P503" s="322"/>
      <c r="Q503" s="322"/>
      <c r="R503" s="322"/>
      <c r="S503" s="323"/>
    </row>
    <row r="504" spans="3:19" s="14" customFormat="1">
      <c r="C504" s="17" t="s">
        <v>222</v>
      </c>
      <c r="D504" s="310"/>
      <c r="E504" s="401">
        <f>_xlfn.IFNA(VLOOKUP($C504,'Facteurs d''émission'!$D$2:$I$344,2,FALSE),"Non renseigné")</f>
        <v>701</v>
      </c>
      <c r="F504" s="5">
        <f t="shared" si="136"/>
        <v>0</v>
      </c>
      <c r="H504" s="400">
        <f>_xlfn.IFNA(VLOOKUP($C504,'Facteurs d''émission'!$D$2:$I$344,4,FALSE),"Non présent dans la base")</f>
        <v>0.3</v>
      </c>
      <c r="I504" s="291"/>
      <c r="J504" s="5">
        <f t="shared" si="137"/>
        <v>0</v>
      </c>
      <c r="K504" s="14" t="str">
        <f t="shared" si="139"/>
        <v/>
      </c>
      <c r="L504" s="292"/>
      <c r="M504" s="5">
        <f t="shared" si="138"/>
        <v>0</v>
      </c>
      <c r="O504" s="321"/>
      <c r="P504" s="322"/>
      <c r="Q504" s="322"/>
      <c r="R504" s="322"/>
      <c r="S504" s="323"/>
    </row>
    <row r="505" spans="3:19" s="14" customFormat="1">
      <c r="C505" s="53" t="s">
        <v>132</v>
      </c>
      <c r="D505" s="310"/>
      <c r="E505" s="401">
        <f>_xlfn.IFNA(VLOOKUP($C505,'Facteurs d''émission'!$D$2:$I$344,2,FALSE),"Non renseigné")</f>
        <v>1620</v>
      </c>
      <c r="F505" s="5">
        <f t="shared" si="136"/>
        <v>0</v>
      </c>
      <c r="H505" s="400">
        <f>_xlfn.IFNA(VLOOKUP($C505,'Facteurs d''émission'!$D$2:$I$344,4,FALSE),"Non présent dans la base")</f>
        <v>0.3</v>
      </c>
      <c r="I505" s="291"/>
      <c r="J505" s="5">
        <f t="shared" si="137"/>
        <v>0</v>
      </c>
      <c r="K505" s="14" t="str">
        <f t="shared" si="139"/>
        <v/>
      </c>
      <c r="L505" s="292"/>
      <c r="M505" s="5">
        <f t="shared" si="138"/>
        <v>0</v>
      </c>
      <c r="O505" s="321"/>
      <c r="P505" s="322"/>
      <c r="Q505" s="322"/>
      <c r="R505" s="322"/>
      <c r="S505" s="323"/>
    </row>
    <row r="506" spans="3:19" s="14" customFormat="1">
      <c r="C506" s="53" t="s">
        <v>223</v>
      </c>
      <c r="D506" s="310"/>
      <c r="E506" s="401">
        <f>_xlfn.IFNA(VLOOKUP($C506,'Facteurs d''émission'!$D$2:$I$344,2,FALSE),"Non renseigné")</f>
        <v>2600</v>
      </c>
      <c r="F506" s="5">
        <f t="shared" si="136"/>
        <v>0</v>
      </c>
      <c r="H506" s="400">
        <f>_xlfn.IFNA(VLOOKUP($C506,'Facteurs d''émission'!$D$2:$I$344,4,FALSE),"Non présent dans la base")</f>
        <v>0.3</v>
      </c>
      <c r="I506" s="291"/>
      <c r="J506" s="5">
        <f t="shared" si="137"/>
        <v>0</v>
      </c>
      <c r="K506" s="14" t="str">
        <f t="shared" si="139"/>
        <v/>
      </c>
      <c r="L506" s="292"/>
      <c r="M506" s="5">
        <f t="shared" si="138"/>
        <v>0</v>
      </c>
      <c r="O506" s="321"/>
      <c r="P506" s="322"/>
      <c r="Q506" s="322"/>
      <c r="R506" s="322"/>
      <c r="S506" s="323"/>
    </row>
    <row r="507" spans="3:19" s="14" customFormat="1">
      <c r="C507" s="17" t="s">
        <v>224</v>
      </c>
      <c r="D507" s="310"/>
      <c r="E507" s="401">
        <f>_xlfn.IFNA(VLOOKUP($C507,'Facteurs d''émission'!$D$2:$I$344,2,FALSE),"Non renseigné")</f>
        <v>1220</v>
      </c>
      <c r="F507" s="5">
        <f t="shared" si="136"/>
        <v>0</v>
      </c>
      <c r="H507" s="400">
        <f>_xlfn.IFNA(VLOOKUP($C507,'Facteurs d''émission'!$D$2:$I$344,4,FALSE),"Non présent dans la base")</f>
        <v>0.3</v>
      </c>
      <c r="I507" s="291"/>
      <c r="J507" s="5">
        <f t="shared" si="137"/>
        <v>0</v>
      </c>
      <c r="K507" s="14" t="str">
        <f t="shared" si="139"/>
        <v/>
      </c>
      <c r="L507" s="292"/>
      <c r="M507" s="5">
        <f t="shared" si="138"/>
        <v>0</v>
      </c>
      <c r="O507" s="321"/>
      <c r="P507" s="322"/>
      <c r="Q507" s="322"/>
      <c r="R507" s="322"/>
      <c r="S507" s="323"/>
    </row>
    <row r="508" spans="3:19" s="14" customFormat="1">
      <c r="C508" s="17" t="s">
        <v>308</v>
      </c>
      <c r="D508" s="310"/>
      <c r="E508" s="401">
        <f>_xlfn.IFNA(VLOOKUP($C508,'Facteurs d''émission'!$D$2:$I$344,2,FALSE),"Non renseigné")</f>
        <v>2610</v>
      </c>
      <c r="F508" s="5">
        <f t="shared" si="136"/>
        <v>0</v>
      </c>
      <c r="H508" s="400">
        <f>_xlfn.IFNA(VLOOKUP($C508,'Facteurs d''émission'!$D$2:$I$344,4,FALSE),"Non présent dans la base")</f>
        <v>0.3</v>
      </c>
      <c r="I508" s="291"/>
      <c r="J508" s="5">
        <f t="shared" si="137"/>
        <v>0</v>
      </c>
      <c r="K508" s="14" t="str">
        <f t="shared" si="139"/>
        <v/>
      </c>
      <c r="L508" s="292"/>
      <c r="M508" s="5">
        <f t="shared" si="138"/>
        <v>0</v>
      </c>
      <c r="O508" s="321"/>
      <c r="P508" s="322"/>
      <c r="Q508" s="322"/>
      <c r="R508" s="322"/>
      <c r="S508" s="323"/>
    </row>
    <row r="509" spans="3:19" s="14" customFormat="1">
      <c r="C509" s="17" t="s">
        <v>15</v>
      </c>
      <c r="D509" s="310"/>
      <c r="E509" s="401">
        <f>_xlfn.IFNA(VLOOKUP($C509,'Facteurs d''émission'!$D$2:$I$344,2,FALSE),"Non renseigné")</f>
        <v>1170</v>
      </c>
      <c r="F509" s="5">
        <f t="shared" si="136"/>
        <v>0</v>
      </c>
      <c r="H509" s="400">
        <f>_xlfn.IFNA(VLOOKUP($C509,'Facteurs d''émission'!$D$2:$I$344,4,FALSE),"Non présent dans la base")</f>
        <v>0.3</v>
      </c>
      <c r="I509" s="291"/>
      <c r="J509" s="5">
        <f t="shared" si="137"/>
        <v>0</v>
      </c>
      <c r="K509" s="14" t="str">
        <f t="shared" si="139"/>
        <v/>
      </c>
      <c r="L509" s="292"/>
      <c r="M509" s="5">
        <f t="shared" si="138"/>
        <v>0</v>
      </c>
      <c r="O509" s="321"/>
      <c r="P509" s="322"/>
      <c r="Q509" s="322"/>
      <c r="R509" s="322"/>
      <c r="S509" s="323"/>
    </row>
    <row r="510" spans="3:19" s="14" customFormat="1">
      <c r="C510" s="17" t="s">
        <v>225</v>
      </c>
      <c r="D510" s="310"/>
      <c r="E510" s="401">
        <f>_xlfn.IFNA(VLOOKUP($C510,'Facteurs d''émission'!$D$2:$I$344,2,FALSE),"Non renseigné")</f>
        <v>1280</v>
      </c>
      <c r="F510" s="5">
        <f t="shared" si="136"/>
        <v>0</v>
      </c>
      <c r="H510" s="400">
        <f>_xlfn.IFNA(VLOOKUP($C510,'Facteurs d''émission'!$D$2:$I$344,4,FALSE),"Non présent dans la base")</f>
        <v>0.3</v>
      </c>
      <c r="I510" s="291"/>
      <c r="J510" s="5">
        <f t="shared" si="137"/>
        <v>0</v>
      </c>
      <c r="K510" s="14" t="str">
        <f t="shared" si="139"/>
        <v/>
      </c>
      <c r="L510" s="292"/>
      <c r="M510" s="5">
        <f t="shared" si="138"/>
        <v>0</v>
      </c>
      <c r="O510" s="321"/>
      <c r="P510" s="322"/>
      <c r="Q510" s="322"/>
      <c r="R510" s="322"/>
      <c r="S510" s="323"/>
    </row>
    <row r="511" spans="3:19" s="14" customFormat="1">
      <c r="C511" s="17" t="s">
        <v>226</v>
      </c>
      <c r="D511" s="310"/>
      <c r="E511" s="401">
        <f>_xlfn.IFNA(VLOOKUP($C511,'Facteurs d''émission'!$D$2:$I$344,2,FALSE),"Non renseigné")</f>
        <v>682</v>
      </c>
      <c r="F511" s="5">
        <f t="shared" ref="F511:F526" si="140">D511*E511</f>
        <v>0</v>
      </c>
      <c r="H511" s="400">
        <f>_xlfn.IFNA(VLOOKUP($C511,'Facteurs d''émission'!$D$2:$I$344,4,FALSE),"Non présent dans la base")</f>
        <v>0.3</v>
      </c>
      <c r="I511" s="291"/>
      <c r="J511" s="5">
        <f t="shared" ref="J511:J526" si="141">F511*(1-(1-H511)*(1-I511))</f>
        <v>0</v>
      </c>
      <c r="K511" s="14" t="str">
        <f t="shared" ref="K511:K526" si="142">IF(D511*COUNTA(I511)&gt;0,"ok","")</f>
        <v/>
      </c>
      <c r="L511" s="292"/>
      <c r="M511" s="5">
        <f t="shared" ref="M511:M526" si="143">L511*F511</f>
        <v>0</v>
      </c>
      <c r="O511" s="321"/>
      <c r="P511" s="322"/>
      <c r="Q511" s="322"/>
      <c r="R511" s="322"/>
      <c r="S511" s="323"/>
    </row>
    <row r="512" spans="3:19" s="14" customFormat="1">
      <c r="C512" s="17" t="s">
        <v>432</v>
      </c>
      <c r="D512" s="310"/>
      <c r="E512" s="401" t="str">
        <f>_xlfn.IFNA(VLOOKUP($C512,'Facteurs d''émission'!$D$2:$I$344,2,FALSE),"Non renseigné")</f>
        <v>Non renseigné</v>
      </c>
      <c r="F512" s="5">
        <f>IF(ISNUMBER(E512),D512*E512,0)</f>
        <v>0</v>
      </c>
      <c r="H512" s="400" t="str">
        <f>_xlfn.IFNA(VLOOKUP($C512,'Facteurs d''émission'!$D$2:$I$344,4,FALSE),"Non présent dans la base")</f>
        <v>Non présent dans la base</v>
      </c>
      <c r="I512" s="291">
        <v>0.01</v>
      </c>
      <c r="J512" s="5" t="e">
        <f t="shared" ref="J512:J522" si="144">F512*(1-(1-H512)*(1-I512))</f>
        <v>#VALUE!</v>
      </c>
      <c r="K512" s="14" t="str">
        <f t="shared" ref="K512:K522" si="145">IF(D512*COUNTA(I512)&gt;0,"ok","")</f>
        <v/>
      </c>
      <c r="L512" s="292"/>
      <c r="M512" s="5">
        <f t="shared" ref="M512:M522" si="146">L512*F512</f>
        <v>0</v>
      </c>
      <c r="O512" s="321"/>
      <c r="P512" s="322"/>
      <c r="Q512" s="322"/>
      <c r="R512" s="322"/>
      <c r="S512" s="323"/>
    </row>
    <row r="513" spans="3:19" s="14" customFormat="1">
      <c r="C513" s="17" t="s">
        <v>433</v>
      </c>
      <c r="D513" s="310"/>
      <c r="E513" s="401" t="str">
        <f>_xlfn.IFNA(VLOOKUP($C513,'Facteurs d''émission'!$D$2:$I$344,2,FALSE),"Non renseigné")</f>
        <v>Non renseigné</v>
      </c>
      <c r="F513" s="5">
        <f>IF(ISNUMBER(E513),D513*E513,0)</f>
        <v>0</v>
      </c>
      <c r="H513" s="400" t="str">
        <f>_xlfn.IFNA(VLOOKUP($C513,'Facteurs d''émission'!$D$2:$I$344,4,FALSE),"Non présent dans la base")</f>
        <v>Non présent dans la base</v>
      </c>
      <c r="I513" s="291">
        <v>0.01</v>
      </c>
      <c r="J513" s="5" t="e">
        <f t="shared" si="144"/>
        <v>#VALUE!</v>
      </c>
      <c r="K513" s="14" t="str">
        <f t="shared" si="145"/>
        <v/>
      </c>
      <c r="L513" s="292"/>
      <c r="M513" s="5">
        <f t="shared" si="146"/>
        <v>0</v>
      </c>
      <c r="O513" s="321"/>
      <c r="P513" s="322"/>
      <c r="Q513" s="322"/>
      <c r="R513" s="322"/>
      <c r="S513" s="323"/>
    </row>
    <row r="514" spans="3:19" s="14" customFormat="1">
      <c r="C514" s="17" t="s">
        <v>357</v>
      </c>
      <c r="D514" s="310"/>
      <c r="E514" s="401">
        <f>_xlfn.IFNA(VLOOKUP($C514,'Facteurs d''émission'!$D$2:$I$344,2,FALSE),"Non renseigné")</f>
        <v>0</v>
      </c>
      <c r="F514" s="5">
        <f t="shared" ref="F514:F522" si="147">D514*E514</f>
        <v>0</v>
      </c>
      <c r="H514" s="400">
        <f>_xlfn.IFNA(VLOOKUP($C514,'Facteurs d''émission'!$D$2:$I$344,4,FALSE),"Non présent dans la base")</f>
        <v>0</v>
      </c>
      <c r="I514" s="291"/>
      <c r="J514" s="5">
        <f t="shared" si="144"/>
        <v>0</v>
      </c>
      <c r="K514" s="14" t="str">
        <f t="shared" si="145"/>
        <v/>
      </c>
      <c r="L514" s="292"/>
      <c r="M514" s="5">
        <f t="shared" si="146"/>
        <v>0</v>
      </c>
      <c r="O514" s="321"/>
      <c r="P514" s="322"/>
      <c r="Q514" s="322"/>
      <c r="R514" s="322"/>
      <c r="S514" s="323"/>
    </row>
    <row r="515" spans="3:19" s="14" customFormat="1">
      <c r="C515" s="17" t="s">
        <v>357</v>
      </c>
      <c r="D515" s="310"/>
      <c r="E515" s="401">
        <f>_xlfn.IFNA(VLOOKUP($C515,'Facteurs d''émission'!$D$2:$I$344,2,FALSE),"Non renseigné")</f>
        <v>0</v>
      </c>
      <c r="F515" s="5">
        <f t="shared" si="147"/>
        <v>0</v>
      </c>
      <c r="H515" s="400">
        <f>_xlfn.IFNA(VLOOKUP($C515,'Facteurs d''émission'!$D$2:$I$344,4,FALSE),"Non présent dans la base")</f>
        <v>0</v>
      </c>
      <c r="I515" s="291"/>
      <c r="J515" s="5">
        <f t="shared" si="144"/>
        <v>0</v>
      </c>
      <c r="K515" s="14" t="str">
        <f t="shared" si="145"/>
        <v/>
      </c>
      <c r="L515" s="292"/>
      <c r="M515" s="5">
        <f t="shared" si="146"/>
        <v>0</v>
      </c>
      <c r="O515" s="321"/>
      <c r="P515" s="322"/>
      <c r="Q515" s="322"/>
      <c r="R515" s="322"/>
      <c r="S515" s="323"/>
    </row>
    <row r="516" spans="3:19" s="14" customFormat="1">
      <c r="C516" s="17" t="s">
        <v>357</v>
      </c>
      <c r="D516" s="310"/>
      <c r="E516" s="401">
        <f>_xlfn.IFNA(VLOOKUP($C516,'Facteurs d''émission'!$D$2:$I$344,2,FALSE),"Non renseigné")</f>
        <v>0</v>
      </c>
      <c r="F516" s="5">
        <f t="shared" si="147"/>
        <v>0</v>
      </c>
      <c r="H516" s="400">
        <f>_xlfn.IFNA(VLOOKUP($C516,'Facteurs d''émission'!$D$2:$I$344,4,FALSE),"Non présent dans la base")</f>
        <v>0</v>
      </c>
      <c r="I516" s="291"/>
      <c r="J516" s="5">
        <f t="shared" si="144"/>
        <v>0</v>
      </c>
      <c r="K516" s="14" t="str">
        <f t="shared" si="145"/>
        <v/>
      </c>
      <c r="L516" s="292"/>
      <c r="M516" s="5">
        <f t="shared" si="146"/>
        <v>0</v>
      </c>
      <c r="O516" s="321"/>
      <c r="P516" s="322"/>
      <c r="Q516" s="322"/>
      <c r="R516" s="322"/>
      <c r="S516" s="323"/>
    </row>
    <row r="517" spans="3:19" s="14" customFormat="1">
      <c r="C517" s="17" t="s">
        <v>357</v>
      </c>
      <c r="D517" s="310"/>
      <c r="E517" s="401">
        <f>_xlfn.IFNA(VLOOKUP($C517,'Facteurs d''émission'!$D$2:$I$344,2,FALSE),"Non renseigné")</f>
        <v>0</v>
      </c>
      <c r="F517" s="5">
        <f t="shared" si="147"/>
        <v>0</v>
      </c>
      <c r="H517" s="400">
        <f>_xlfn.IFNA(VLOOKUP($C517,'Facteurs d''émission'!$D$2:$I$344,4,FALSE),"Non présent dans la base")</f>
        <v>0</v>
      </c>
      <c r="I517" s="291"/>
      <c r="J517" s="5">
        <f t="shared" si="144"/>
        <v>0</v>
      </c>
      <c r="K517" s="14" t="str">
        <f t="shared" si="145"/>
        <v/>
      </c>
      <c r="L517" s="292"/>
      <c r="M517" s="5">
        <f t="shared" si="146"/>
        <v>0</v>
      </c>
      <c r="O517" s="321"/>
      <c r="P517" s="322"/>
      <c r="Q517" s="322"/>
      <c r="R517" s="322"/>
      <c r="S517" s="323"/>
    </row>
    <row r="518" spans="3:19" s="14" customFormat="1">
      <c r="C518" s="17" t="s">
        <v>357</v>
      </c>
      <c r="D518" s="310"/>
      <c r="E518" s="401">
        <f>_xlfn.IFNA(VLOOKUP($C518,'Facteurs d''émission'!$D$2:$I$344,2,FALSE),"Non renseigné")</f>
        <v>0</v>
      </c>
      <c r="F518" s="5">
        <f t="shared" si="147"/>
        <v>0</v>
      </c>
      <c r="H518" s="400">
        <f>_xlfn.IFNA(VLOOKUP($C518,'Facteurs d''émission'!$D$2:$I$344,4,FALSE),"Non présent dans la base")</f>
        <v>0</v>
      </c>
      <c r="I518" s="291"/>
      <c r="J518" s="5">
        <f t="shared" si="144"/>
        <v>0</v>
      </c>
      <c r="K518" s="14" t="str">
        <f t="shared" si="145"/>
        <v/>
      </c>
      <c r="L518" s="292"/>
      <c r="M518" s="5">
        <f t="shared" si="146"/>
        <v>0</v>
      </c>
      <c r="O518" s="321"/>
      <c r="P518" s="322"/>
      <c r="Q518" s="322"/>
      <c r="R518" s="322"/>
      <c r="S518" s="323"/>
    </row>
    <row r="519" spans="3:19" s="14" customFormat="1">
      <c r="C519" s="17" t="s">
        <v>357</v>
      </c>
      <c r="D519" s="310"/>
      <c r="E519" s="401">
        <f>_xlfn.IFNA(VLOOKUP($C519,'Facteurs d''émission'!$D$2:$I$344,2,FALSE),"Non renseigné")</f>
        <v>0</v>
      </c>
      <c r="F519" s="5">
        <f t="shared" si="147"/>
        <v>0</v>
      </c>
      <c r="H519" s="400">
        <f>_xlfn.IFNA(VLOOKUP($C519,'Facteurs d''émission'!$D$2:$I$344,4,FALSE),"Non présent dans la base")</f>
        <v>0</v>
      </c>
      <c r="I519" s="291"/>
      <c r="J519" s="5">
        <f t="shared" si="144"/>
        <v>0</v>
      </c>
      <c r="K519" s="14" t="str">
        <f t="shared" si="145"/>
        <v/>
      </c>
      <c r="L519" s="292"/>
      <c r="M519" s="5">
        <f t="shared" si="146"/>
        <v>0</v>
      </c>
      <c r="O519" s="321"/>
      <c r="P519" s="322"/>
      <c r="Q519" s="322"/>
      <c r="R519" s="322"/>
      <c r="S519" s="323"/>
    </row>
    <row r="520" spans="3:19" s="14" customFormat="1">
      <c r="C520" s="17" t="s">
        <v>357</v>
      </c>
      <c r="D520" s="310"/>
      <c r="E520" s="401">
        <f>_xlfn.IFNA(VLOOKUP($C520,'Facteurs d''émission'!$D$2:$I$344,2,FALSE),"Non renseigné")</f>
        <v>0</v>
      </c>
      <c r="F520" s="5">
        <f t="shared" si="147"/>
        <v>0</v>
      </c>
      <c r="H520" s="400">
        <f>_xlfn.IFNA(VLOOKUP($C520,'Facteurs d''émission'!$D$2:$I$344,4,FALSE),"Non présent dans la base")</f>
        <v>0</v>
      </c>
      <c r="I520" s="291"/>
      <c r="J520" s="5">
        <f t="shared" si="144"/>
        <v>0</v>
      </c>
      <c r="K520" s="14" t="str">
        <f t="shared" si="145"/>
        <v/>
      </c>
      <c r="L520" s="292"/>
      <c r="M520" s="5">
        <f t="shared" si="146"/>
        <v>0</v>
      </c>
      <c r="O520" s="321"/>
      <c r="P520" s="322"/>
      <c r="Q520" s="322"/>
      <c r="R520" s="322"/>
      <c r="S520" s="323"/>
    </row>
    <row r="521" spans="3:19" s="14" customFormat="1">
      <c r="C521" s="17" t="s">
        <v>357</v>
      </c>
      <c r="D521" s="310"/>
      <c r="E521" s="401">
        <f>_xlfn.IFNA(VLOOKUP($C521,'Facteurs d''émission'!$D$2:$I$344,2,FALSE),"Non renseigné")</f>
        <v>0</v>
      </c>
      <c r="F521" s="5">
        <f t="shared" si="147"/>
        <v>0</v>
      </c>
      <c r="H521" s="400">
        <f>_xlfn.IFNA(VLOOKUP($C521,'Facteurs d''émission'!$D$2:$I$344,4,FALSE),"Non présent dans la base")</f>
        <v>0</v>
      </c>
      <c r="I521" s="291"/>
      <c r="J521" s="5">
        <f t="shared" si="144"/>
        <v>0</v>
      </c>
      <c r="K521" s="14" t="str">
        <f t="shared" si="145"/>
        <v/>
      </c>
      <c r="L521" s="292"/>
      <c r="M521" s="5">
        <f t="shared" si="146"/>
        <v>0</v>
      </c>
      <c r="O521" s="321"/>
      <c r="P521" s="322"/>
      <c r="Q521" s="322"/>
      <c r="R521" s="322"/>
      <c r="S521" s="323"/>
    </row>
    <row r="522" spans="3:19" s="14" customFormat="1">
      <c r="C522" s="17" t="s">
        <v>357</v>
      </c>
      <c r="D522" s="310"/>
      <c r="E522" s="401">
        <f>_xlfn.IFNA(VLOOKUP($C522,'Facteurs d''émission'!$D$2:$I$344,2,FALSE),"Non renseigné")</f>
        <v>0</v>
      </c>
      <c r="F522" s="5">
        <f t="shared" si="147"/>
        <v>0</v>
      </c>
      <c r="H522" s="400">
        <f>_xlfn.IFNA(VLOOKUP($C522,'Facteurs d''émission'!$D$2:$I$344,4,FALSE),"Non présent dans la base")</f>
        <v>0</v>
      </c>
      <c r="I522" s="291"/>
      <c r="J522" s="5">
        <f t="shared" si="144"/>
        <v>0</v>
      </c>
      <c r="K522" s="14" t="str">
        <f t="shared" si="145"/>
        <v/>
      </c>
      <c r="L522" s="292"/>
      <c r="M522" s="5">
        <f t="shared" si="146"/>
        <v>0</v>
      </c>
      <c r="O522" s="321"/>
      <c r="P522" s="322"/>
      <c r="Q522" s="322"/>
      <c r="R522" s="322"/>
      <c r="S522" s="323"/>
    </row>
    <row r="523" spans="3:19" s="14" customFormat="1">
      <c r="C523" s="17" t="s">
        <v>357</v>
      </c>
      <c r="D523" s="310"/>
      <c r="E523" s="401">
        <f>_xlfn.IFNA(VLOOKUP($C523,'Facteurs d''émission'!$D$2:$I$344,2,FALSE),"Non renseigné")</f>
        <v>0</v>
      </c>
      <c r="F523" s="5">
        <f t="shared" si="140"/>
        <v>0</v>
      </c>
      <c r="H523" s="400">
        <f>_xlfn.IFNA(VLOOKUP($C523,'Facteurs d''émission'!$D$2:$I$344,4,FALSE),"Non présent dans la base")</f>
        <v>0</v>
      </c>
      <c r="I523" s="291"/>
      <c r="J523" s="5">
        <f t="shared" si="141"/>
        <v>0</v>
      </c>
      <c r="K523" s="14" t="str">
        <f t="shared" si="142"/>
        <v/>
      </c>
      <c r="L523" s="292"/>
      <c r="M523" s="5">
        <f t="shared" si="143"/>
        <v>0</v>
      </c>
      <c r="O523" s="321"/>
      <c r="P523" s="322"/>
      <c r="Q523" s="322"/>
      <c r="R523" s="322"/>
      <c r="S523" s="323"/>
    </row>
    <row r="524" spans="3:19" s="14" customFormat="1">
      <c r="C524" s="17" t="s">
        <v>357</v>
      </c>
      <c r="D524" s="310"/>
      <c r="E524" s="401">
        <f>_xlfn.IFNA(VLOOKUP($C524,'Facteurs d''émission'!$D$2:$I$344,2,FALSE),"Non renseigné")</f>
        <v>0</v>
      </c>
      <c r="F524" s="5">
        <f t="shared" si="140"/>
        <v>0</v>
      </c>
      <c r="H524" s="400">
        <f>_xlfn.IFNA(VLOOKUP($C524,'Facteurs d''émission'!$D$2:$I$344,4,FALSE),"Non présent dans la base")</f>
        <v>0</v>
      </c>
      <c r="I524" s="291"/>
      <c r="J524" s="5">
        <f t="shared" si="141"/>
        <v>0</v>
      </c>
      <c r="K524" s="14" t="str">
        <f t="shared" si="142"/>
        <v/>
      </c>
      <c r="L524" s="292"/>
      <c r="M524" s="5">
        <f t="shared" si="143"/>
        <v>0</v>
      </c>
      <c r="O524" s="321"/>
      <c r="P524" s="322"/>
      <c r="Q524" s="322"/>
      <c r="R524" s="322"/>
      <c r="S524" s="323"/>
    </row>
    <row r="525" spans="3:19" s="14" customFormat="1">
      <c r="C525" s="17" t="s">
        <v>357</v>
      </c>
      <c r="D525" s="310"/>
      <c r="E525" s="401">
        <f>_xlfn.IFNA(VLOOKUP($C525,'Facteurs d''émission'!$D$2:$I$344,2,FALSE),"Non renseigné")</f>
        <v>0</v>
      </c>
      <c r="F525" s="5">
        <f t="shared" si="140"/>
        <v>0</v>
      </c>
      <c r="H525" s="400">
        <f>_xlfn.IFNA(VLOOKUP($C525,'Facteurs d''émission'!$D$2:$I$344,4,FALSE),"Non présent dans la base")</f>
        <v>0</v>
      </c>
      <c r="I525" s="291"/>
      <c r="J525" s="5">
        <f t="shared" si="141"/>
        <v>0</v>
      </c>
      <c r="K525" s="14" t="str">
        <f t="shared" si="142"/>
        <v/>
      </c>
      <c r="L525" s="292"/>
      <c r="M525" s="5">
        <f t="shared" si="143"/>
        <v>0</v>
      </c>
      <c r="O525" s="321"/>
      <c r="P525" s="322"/>
      <c r="Q525" s="322"/>
      <c r="R525" s="322"/>
      <c r="S525" s="323"/>
    </row>
    <row r="526" spans="3:19" s="14" customFormat="1">
      <c r="C526" s="17" t="s">
        <v>357</v>
      </c>
      <c r="D526" s="310"/>
      <c r="E526" s="401">
        <f>_xlfn.IFNA(VLOOKUP($C526,'Facteurs d''émission'!$D$2:$I$344,2,FALSE),"Non renseigné")</f>
        <v>0</v>
      </c>
      <c r="F526" s="5">
        <f t="shared" si="140"/>
        <v>0</v>
      </c>
      <c r="H526" s="400">
        <f>_xlfn.IFNA(VLOOKUP($C526,'Facteurs d''émission'!$D$2:$I$344,4,FALSE),"Non présent dans la base")</f>
        <v>0</v>
      </c>
      <c r="I526" s="291"/>
      <c r="J526" s="5">
        <f t="shared" si="141"/>
        <v>0</v>
      </c>
      <c r="K526" s="14" t="str">
        <f t="shared" si="142"/>
        <v/>
      </c>
      <c r="L526" s="292"/>
      <c r="M526" s="5">
        <f t="shared" si="143"/>
        <v>0</v>
      </c>
      <c r="O526" s="321"/>
      <c r="P526" s="322"/>
      <c r="Q526" s="322"/>
      <c r="R526" s="322"/>
      <c r="S526" s="323"/>
    </row>
    <row r="527" spans="3:19" s="14" customFormat="1">
      <c r="C527" s="65" t="s">
        <v>26</v>
      </c>
      <c r="D527" s="66"/>
      <c r="E527" s="66"/>
      <c r="F527" s="67">
        <f>SUM(F498:F526)</f>
        <v>0</v>
      </c>
      <c r="H527" s="247" t="str">
        <f>IF(COUNTA(D498:D526)&gt;COUNTIF(K498:K526,"ok"),"! Remplir une incertitude !","")</f>
        <v/>
      </c>
      <c r="I527" s="248"/>
      <c r="J527" s="62" t="e">
        <f>SUM(J498:J526)</f>
        <v>#VALUE!</v>
      </c>
      <c r="K527" s="141"/>
      <c r="L527" s="17"/>
      <c r="M527" s="62">
        <f>SUM(M498:M526)</f>
        <v>0</v>
      </c>
      <c r="O527" s="252" t="str">
        <f>IF(M527&gt;0,IF(#REF!="","Attention: vous devez planifier une action afin de remplir votre objectif",""),"")</f>
        <v/>
      </c>
      <c r="P527" s="252"/>
      <c r="Q527" s="252"/>
      <c r="R527" s="252"/>
      <c r="S527" s="252"/>
    </row>
    <row r="528" spans="3:19" s="14" customFormat="1" ht="24" customHeight="1">
      <c r="C528" s="15"/>
      <c r="F528" s="76"/>
      <c r="J528" s="76"/>
      <c r="K528" s="141"/>
      <c r="M528" s="76"/>
      <c r="O528" s="11"/>
      <c r="P528" s="11"/>
      <c r="Q528" s="11"/>
      <c r="R528" s="11"/>
      <c r="S528" s="11"/>
    </row>
    <row r="529" spans="3:19" s="14" customFormat="1">
      <c r="C529" s="15"/>
      <c r="E529" s="15" t="s">
        <v>382</v>
      </c>
      <c r="F529" s="76"/>
      <c r="J529" s="76"/>
      <c r="K529" s="141"/>
      <c r="M529" s="76"/>
      <c r="O529" s="11"/>
      <c r="P529" s="11"/>
      <c r="Q529" s="11"/>
      <c r="R529" s="11"/>
      <c r="S529" s="11"/>
    </row>
    <row r="530" spans="3:19" s="14" customFormat="1">
      <c r="C530" s="15"/>
      <c r="F530" s="76"/>
      <c r="J530" s="76"/>
      <c r="K530" s="141"/>
      <c r="M530" s="76"/>
      <c r="O530" s="11"/>
      <c r="P530" s="11"/>
      <c r="Q530" s="11"/>
      <c r="R530" s="11"/>
      <c r="S530" s="11"/>
    </row>
    <row r="531" spans="3:19" s="14" customFormat="1">
      <c r="C531" s="358" t="s">
        <v>158</v>
      </c>
      <c r="F531" s="76" t="s">
        <v>358</v>
      </c>
      <c r="H531" s="244" t="s">
        <v>65</v>
      </c>
      <c r="I531" s="244"/>
      <c r="J531" s="244"/>
      <c r="K531" s="141"/>
      <c r="L531" s="246" t="s">
        <v>393</v>
      </c>
      <c r="M531" s="246"/>
      <c r="O531" s="15" t="s">
        <v>115</v>
      </c>
    </row>
    <row r="532" spans="3:19" s="14" customFormat="1">
      <c r="C532" s="297" t="s">
        <v>109</v>
      </c>
      <c r="D532" s="297" t="s">
        <v>409</v>
      </c>
      <c r="E532" s="362" t="s">
        <v>410</v>
      </c>
      <c r="F532" s="296" t="s">
        <v>265</v>
      </c>
      <c r="H532" s="297" t="s">
        <v>329</v>
      </c>
      <c r="I532" s="297" t="s">
        <v>330</v>
      </c>
      <c r="J532" s="442" t="s">
        <v>265</v>
      </c>
      <c r="K532" s="141"/>
      <c r="L532" s="297" t="s">
        <v>331</v>
      </c>
      <c r="M532" s="442" t="s">
        <v>265</v>
      </c>
      <c r="O532" s="666" t="s">
        <v>167</v>
      </c>
      <c r="P532" s="667"/>
      <c r="Q532" s="667"/>
      <c r="R532" s="667"/>
      <c r="S532" s="668"/>
    </row>
    <row r="533" spans="3:19" s="14" customFormat="1">
      <c r="C533" s="17" t="s">
        <v>227</v>
      </c>
      <c r="D533" s="310"/>
      <c r="E533" s="402">
        <f>_xlfn.IFNA(VLOOKUP($C533,'Facteurs d''émission'!$D$2:$I$344,2,FALSE),"Non renseigné")</f>
        <v>1.43</v>
      </c>
      <c r="F533" s="5">
        <f>D533*E533</f>
        <v>0</v>
      </c>
      <c r="H533" s="400">
        <f>_xlfn.IFNA(VLOOKUP($C533,'Facteurs d''émission'!$D$2:$I$344,4,FALSE),"Non présent dans la base")</f>
        <v>0.3</v>
      </c>
      <c r="I533" s="291"/>
      <c r="J533" s="5">
        <f>F533*(1-(1-H533)*(1-I533))</f>
        <v>0</v>
      </c>
      <c r="K533" s="14" t="str">
        <f>IF(D533*COUNTA(I533)&gt;0,"ok","")</f>
        <v/>
      </c>
      <c r="L533" s="292"/>
      <c r="M533" s="5">
        <f>L533*F533</f>
        <v>0</v>
      </c>
      <c r="O533" s="321"/>
      <c r="P533" s="322"/>
      <c r="Q533" s="322"/>
      <c r="R533" s="322"/>
      <c r="S533" s="323"/>
    </row>
    <row r="534" spans="3:19" s="14" customFormat="1">
      <c r="C534" s="17" t="s">
        <v>229</v>
      </c>
      <c r="D534" s="310"/>
      <c r="E534" s="402">
        <f>_xlfn.IFNA(VLOOKUP($C534,'Facteurs d''émission'!$D$2:$I$344,2,FALSE),"Non renseigné")</f>
        <v>2.67</v>
      </c>
      <c r="F534" s="5">
        <f t="shared" ref="F534:F545" si="148">D534*E534</f>
        <v>0</v>
      </c>
      <c r="H534" s="400">
        <f>_xlfn.IFNA(VLOOKUP($C534,'Facteurs d''émission'!$D$2:$I$344,4,FALSE),"Non présent dans la base")</f>
        <v>0.3</v>
      </c>
      <c r="I534" s="291"/>
      <c r="J534" s="5">
        <f t="shared" ref="J534:J545" si="149">F534*(1-(1-H534)*(1-I534))</f>
        <v>0</v>
      </c>
      <c r="K534" s="14" t="str">
        <f t="shared" ref="K534:K545" si="150">IF(D534*COUNTA(I534)&gt;0,"ok","")</f>
        <v/>
      </c>
      <c r="L534" s="292"/>
      <c r="M534" s="5">
        <f t="shared" ref="M534:M545" si="151">L534*F534</f>
        <v>0</v>
      </c>
      <c r="O534" s="321"/>
      <c r="P534" s="322"/>
      <c r="Q534" s="322"/>
      <c r="R534" s="322"/>
      <c r="S534" s="323"/>
    </row>
    <row r="535" spans="3:19" s="14" customFormat="1">
      <c r="C535" s="17" t="s">
        <v>378</v>
      </c>
      <c r="D535" s="310"/>
      <c r="E535" s="402">
        <f>_xlfn.IFNA(VLOOKUP($C535,'Facteurs d''émission'!$D$2:$I$344,2,FALSE),"Non renseigné")</f>
        <v>1.0900000000000001</v>
      </c>
      <c r="F535" s="5">
        <f t="shared" si="148"/>
        <v>0</v>
      </c>
      <c r="H535" s="400">
        <f>_xlfn.IFNA(VLOOKUP($C535,'Facteurs d''émission'!$D$2:$I$344,4,FALSE),"Non présent dans la base")</f>
        <v>0.3</v>
      </c>
      <c r="I535" s="291"/>
      <c r="J535" s="5">
        <f t="shared" si="149"/>
        <v>0</v>
      </c>
      <c r="K535" s="14" t="str">
        <f t="shared" si="150"/>
        <v/>
      </c>
      <c r="L535" s="292"/>
      <c r="M535" s="5">
        <f t="shared" si="151"/>
        <v>0</v>
      </c>
      <c r="O535" s="321"/>
      <c r="P535" s="322"/>
      <c r="Q535" s="322"/>
      <c r="R535" s="322"/>
      <c r="S535" s="323"/>
    </row>
    <row r="536" spans="3:19" s="14" customFormat="1">
      <c r="C536" s="17" t="s">
        <v>379</v>
      </c>
      <c r="D536" s="310"/>
      <c r="E536" s="402">
        <f>_xlfn.IFNA(VLOOKUP($C536,'Facteurs d''émission'!$D$2:$I$344,2,FALSE),"Non renseigné")</f>
        <v>0.39300000000000002</v>
      </c>
      <c r="F536" s="5">
        <f t="shared" si="148"/>
        <v>0</v>
      </c>
      <c r="H536" s="400">
        <f>_xlfn.IFNA(VLOOKUP($C536,'Facteurs d''émission'!$D$2:$I$344,4,FALSE),"Non présent dans la base")</f>
        <v>0.3</v>
      </c>
      <c r="I536" s="291"/>
      <c r="J536" s="5">
        <f t="shared" si="149"/>
        <v>0</v>
      </c>
      <c r="K536" s="14" t="str">
        <f t="shared" si="150"/>
        <v/>
      </c>
      <c r="L536" s="292"/>
      <c r="M536" s="5">
        <f t="shared" si="151"/>
        <v>0</v>
      </c>
      <c r="O536" s="321"/>
      <c r="P536" s="322"/>
      <c r="Q536" s="322"/>
      <c r="R536" s="322"/>
      <c r="S536" s="323"/>
    </row>
    <row r="537" spans="3:19" s="14" customFormat="1">
      <c r="C537" s="17" t="s">
        <v>380</v>
      </c>
      <c r="D537" s="310"/>
      <c r="E537" s="450">
        <f>_xlfn.IFNA(VLOOKUP($C537,'Facteurs d''émission'!$D$2:$I$344,2,FALSE),"Non renseigné")</f>
        <v>1.64E-4</v>
      </c>
      <c r="F537" s="5">
        <f t="shared" si="148"/>
        <v>0</v>
      </c>
      <c r="H537" s="400">
        <f>_xlfn.IFNA(VLOOKUP($C537,'Facteurs d''émission'!$D$2:$I$344,4,FALSE),"Non présent dans la base")</f>
        <v>0.3</v>
      </c>
      <c r="I537" s="291"/>
      <c r="J537" s="5">
        <f t="shared" si="149"/>
        <v>0</v>
      </c>
      <c r="K537" s="14" t="str">
        <f t="shared" si="150"/>
        <v/>
      </c>
      <c r="L537" s="292"/>
      <c r="M537" s="5">
        <f t="shared" si="151"/>
        <v>0</v>
      </c>
      <c r="O537" s="321"/>
      <c r="P537" s="322"/>
      <c r="Q537" s="322"/>
      <c r="R537" s="322"/>
      <c r="S537" s="323"/>
    </row>
    <row r="538" spans="3:19" s="14" customFormat="1">
      <c r="C538" s="17" t="s">
        <v>381</v>
      </c>
      <c r="D538" s="310"/>
      <c r="E538" s="402">
        <f>_xlfn.IFNA(VLOOKUP($C538,'Facteurs d''émission'!$D$2:$I$344,2,FALSE),"Non renseigné")</f>
        <v>15.7</v>
      </c>
      <c r="F538" s="5">
        <f t="shared" si="148"/>
        <v>0</v>
      </c>
      <c r="H538" s="400">
        <f>_xlfn.IFNA(VLOOKUP($C538,'Facteurs d''émission'!$D$2:$I$344,4,FALSE),"Non présent dans la base")</f>
        <v>0.3</v>
      </c>
      <c r="I538" s="291"/>
      <c r="J538" s="5">
        <f t="shared" si="149"/>
        <v>0</v>
      </c>
      <c r="K538" s="14" t="str">
        <f t="shared" si="150"/>
        <v/>
      </c>
      <c r="L538" s="292"/>
      <c r="M538" s="5">
        <f t="shared" si="151"/>
        <v>0</v>
      </c>
      <c r="O538" s="321"/>
      <c r="P538" s="322"/>
      <c r="Q538" s="322"/>
      <c r="R538" s="322"/>
      <c r="S538" s="323"/>
    </row>
    <row r="539" spans="3:19" s="14" customFormat="1">
      <c r="C539" s="17" t="s">
        <v>357</v>
      </c>
      <c r="D539" s="310"/>
      <c r="E539" s="402">
        <f>_xlfn.IFNA(VLOOKUP($C539,'Facteurs d''émission'!$D$2:$I$344,2,FALSE),"Non renseigné")</f>
        <v>0</v>
      </c>
      <c r="F539" s="5">
        <f t="shared" si="148"/>
        <v>0</v>
      </c>
      <c r="H539" s="400">
        <f>_xlfn.IFNA(VLOOKUP($C539,'Facteurs d''émission'!$D$2:$I$344,4,FALSE),"Non présent dans la base")</f>
        <v>0</v>
      </c>
      <c r="I539" s="291"/>
      <c r="J539" s="5">
        <f t="shared" si="149"/>
        <v>0</v>
      </c>
      <c r="K539" s="14" t="str">
        <f t="shared" si="150"/>
        <v/>
      </c>
      <c r="L539" s="292"/>
      <c r="M539" s="5">
        <f t="shared" si="151"/>
        <v>0</v>
      </c>
      <c r="O539" s="321"/>
      <c r="P539" s="322"/>
      <c r="Q539" s="322"/>
      <c r="R539" s="322"/>
      <c r="S539" s="323"/>
    </row>
    <row r="540" spans="3:19" s="14" customFormat="1">
      <c r="C540" s="17" t="s">
        <v>357</v>
      </c>
      <c r="D540" s="310"/>
      <c r="E540" s="402">
        <f>_xlfn.IFNA(VLOOKUP($C540,'Facteurs d''émission'!$D$2:$I$344,2,FALSE),"Non renseigné")</f>
        <v>0</v>
      </c>
      <c r="F540" s="5">
        <f t="shared" si="148"/>
        <v>0</v>
      </c>
      <c r="H540" s="400">
        <f>_xlfn.IFNA(VLOOKUP($C540,'Facteurs d''émission'!$D$2:$I$344,4,FALSE),"Non présent dans la base")</f>
        <v>0</v>
      </c>
      <c r="I540" s="291"/>
      <c r="J540" s="5">
        <f t="shared" si="149"/>
        <v>0</v>
      </c>
      <c r="K540" s="14" t="str">
        <f t="shared" si="150"/>
        <v/>
      </c>
      <c r="L540" s="292"/>
      <c r="M540" s="5">
        <f t="shared" si="151"/>
        <v>0</v>
      </c>
      <c r="O540" s="321"/>
      <c r="P540" s="322"/>
      <c r="Q540" s="322"/>
      <c r="R540" s="322"/>
      <c r="S540" s="323"/>
    </row>
    <row r="541" spans="3:19" s="14" customFormat="1">
      <c r="C541" s="17" t="s">
        <v>357</v>
      </c>
      <c r="D541" s="310"/>
      <c r="E541" s="402">
        <f>_xlfn.IFNA(VLOOKUP($C541,'Facteurs d''émission'!$D$2:$I$344,2,FALSE),"Non renseigné")</f>
        <v>0</v>
      </c>
      <c r="F541" s="5">
        <f t="shared" si="148"/>
        <v>0</v>
      </c>
      <c r="H541" s="400">
        <f>_xlfn.IFNA(VLOOKUP($C541,'Facteurs d''émission'!$D$2:$I$344,4,FALSE),"Non présent dans la base")</f>
        <v>0</v>
      </c>
      <c r="I541" s="291"/>
      <c r="J541" s="5">
        <f t="shared" si="149"/>
        <v>0</v>
      </c>
      <c r="K541" s="14" t="str">
        <f t="shared" si="150"/>
        <v/>
      </c>
      <c r="L541" s="292"/>
      <c r="M541" s="5">
        <f t="shared" si="151"/>
        <v>0</v>
      </c>
      <c r="O541" s="321"/>
      <c r="P541" s="322"/>
      <c r="Q541" s="322"/>
      <c r="R541" s="322"/>
      <c r="S541" s="323"/>
    </row>
    <row r="542" spans="3:19" s="14" customFormat="1">
      <c r="C542" s="17" t="s">
        <v>357</v>
      </c>
      <c r="D542" s="310"/>
      <c r="E542" s="402">
        <f>_xlfn.IFNA(VLOOKUP($C542,'Facteurs d''émission'!$D$2:$I$344,2,FALSE),"Non renseigné")</f>
        <v>0</v>
      </c>
      <c r="F542" s="5">
        <f t="shared" si="148"/>
        <v>0</v>
      </c>
      <c r="H542" s="400">
        <f>_xlfn.IFNA(VLOOKUP($C542,'Facteurs d''émission'!$D$2:$I$344,4,FALSE),"Non présent dans la base")</f>
        <v>0</v>
      </c>
      <c r="I542" s="291"/>
      <c r="J542" s="5">
        <f t="shared" si="149"/>
        <v>0</v>
      </c>
      <c r="K542" s="14" t="str">
        <f t="shared" si="150"/>
        <v/>
      </c>
      <c r="L542" s="292"/>
      <c r="M542" s="5">
        <f t="shared" si="151"/>
        <v>0</v>
      </c>
      <c r="O542" s="321"/>
      <c r="P542" s="322"/>
      <c r="Q542" s="322"/>
      <c r="R542" s="322"/>
      <c r="S542" s="323"/>
    </row>
    <row r="543" spans="3:19" s="14" customFormat="1">
      <c r="C543" s="17" t="s">
        <v>357</v>
      </c>
      <c r="D543" s="310"/>
      <c r="E543" s="402">
        <f>_xlfn.IFNA(VLOOKUP($C543,'Facteurs d''émission'!$D$2:$I$344,2,FALSE),"Non renseigné")</f>
        <v>0</v>
      </c>
      <c r="F543" s="5">
        <f t="shared" si="148"/>
        <v>0</v>
      </c>
      <c r="H543" s="400">
        <f>_xlfn.IFNA(VLOOKUP($C543,'Facteurs d''émission'!$D$2:$I$344,4,FALSE),"Non présent dans la base")</f>
        <v>0</v>
      </c>
      <c r="I543" s="291"/>
      <c r="J543" s="5">
        <f t="shared" si="149"/>
        <v>0</v>
      </c>
      <c r="K543" s="14" t="str">
        <f t="shared" si="150"/>
        <v/>
      </c>
      <c r="L543" s="292"/>
      <c r="M543" s="5">
        <f t="shared" si="151"/>
        <v>0</v>
      </c>
      <c r="O543" s="321"/>
      <c r="P543" s="322"/>
      <c r="Q543" s="322"/>
      <c r="R543" s="322"/>
      <c r="S543" s="323"/>
    </row>
    <row r="544" spans="3:19" s="14" customFormat="1">
      <c r="C544" s="17" t="s">
        <v>357</v>
      </c>
      <c r="D544" s="310"/>
      <c r="E544" s="402">
        <f>_xlfn.IFNA(VLOOKUP($C544,'Facteurs d''émission'!$D$2:$I$344,2,FALSE),"Non renseigné")</f>
        <v>0</v>
      </c>
      <c r="F544" s="5">
        <f t="shared" si="148"/>
        <v>0</v>
      </c>
      <c r="H544" s="400">
        <f>_xlfn.IFNA(VLOOKUP($C544,'Facteurs d''émission'!$D$2:$I$344,4,FALSE),"Non présent dans la base")</f>
        <v>0</v>
      </c>
      <c r="I544" s="291"/>
      <c r="J544" s="5">
        <f t="shared" si="149"/>
        <v>0</v>
      </c>
      <c r="K544" s="14" t="str">
        <f t="shared" si="150"/>
        <v/>
      </c>
      <c r="L544" s="292"/>
      <c r="M544" s="5">
        <f t="shared" si="151"/>
        <v>0</v>
      </c>
      <c r="O544" s="321"/>
      <c r="P544" s="322"/>
      <c r="Q544" s="322"/>
      <c r="R544" s="322"/>
      <c r="S544" s="323"/>
    </row>
    <row r="545" spans="3:19" s="14" customFormat="1">
      <c r="C545" s="17" t="s">
        <v>357</v>
      </c>
      <c r="D545" s="310"/>
      <c r="E545" s="402">
        <f>_xlfn.IFNA(VLOOKUP($C545,'Facteurs d''émission'!$D$2:$I$344,2,FALSE),"Non renseigné")</f>
        <v>0</v>
      </c>
      <c r="F545" s="5">
        <f t="shared" si="148"/>
        <v>0</v>
      </c>
      <c r="H545" s="400">
        <f>_xlfn.IFNA(VLOOKUP($C545,'Facteurs d''émission'!$D$2:$I$344,4,FALSE),"Non présent dans la base")</f>
        <v>0</v>
      </c>
      <c r="I545" s="291"/>
      <c r="J545" s="5">
        <f t="shared" si="149"/>
        <v>0</v>
      </c>
      <c r="K545" s="14" t="str">
        <f t="shared" si="150"/>
        <v/>
      </c>
      <c r="L545" s="292"/>
      <c r="M545" s="5">
        <f t="shared" si="151"/>
        <v>0</v>
      </c>
      <c r="O545" s="321"/>
      <c r="P545" s="322"/>
      <c r="Q545" s="322"/>
      <c r="R545" s="322"/>
      <c r="S545" s="323"/>
    </row>
    <row r="546" spans="3:19" s="14" customFormat="1">
      <c r="C546" s="65" t="s">
        <v>26</v>
      </c>
      <c r="D546" s="66"/>
      <c r="E546" s="66"/>
      <c r="F546" s="67">
        <f>SUM(F533:F545)</f>
        <v>0</v>
      </c>
      <c r="H546" s="247" t="str">
        <f>IF(COUNTA(D533:D545)&gt;COUNTIF(K533:K545,"ok"),"! Remplir une incertitude !","")</f>
        <v/>
      </c>
      <c r="I546" s="248"/>
      <c r="J546" s="62">
        <f>SUM(J533:J545)</f>
        <v>0</v>
      </c>
      <c r="K546" s="141"/>
      <c r="L546" s="17"/>
      <c r="M546" s="62">
        <f>SUM(M533:M545)</f>
        <v>0</v>
      </c>
      <c r="O546" s="252" t="str">
        <f>IF(M546&gt;0,IF(#REF!="","Attention: vous devez planifier une action afin de remplir votre objectif",""),"")</f>
        <v/>
      </c>
      <c r="P546" s="252"/>
      <c r="Q546" s="252"/>
      <c r="R546" s="252"/>
      <c r="S546" s="252"/>
    </row>
    <row r="547" spans="3:19" s="14" customFormat="1" ht="24.4" customHeight="1">
      <c r="C547" s="15"/>
      <c r="F547" s="76"/>
      <c r="J547" s="76"/>
      <c r="K547" s="141"/>
      <c r="M547" s="76"/>
      <c r="O547" s="11"/>
      <c r="P547" s="11"/>
      <c r="Q547" s="11"/>
      <c r="R547" s="11"/>
      <c r="S547" s="11"/>
    </row>
    <row r="548" spans="3:19" s="14" customFormat="1">
      <c r="C548" s="15"/>
      <c r="E548" s="15" t="s">
        <v>383</v>
      </c>
      <c r="F548" s="76"/>
      <c r="J548" s="76"/>
      <c r="K548" s="141"/>
      <c r="M548" s="76"/>
      <c r="O548" s="11"/>
      <c r="P548" s="11"/>
      <c r="Q548" s="11"/>
      <c r="R548" s="11"/>
      <c r="S548" s="11"/>
    </row>
    <row r="549" spans="3:19" s="14" customFormat="1" ht="12.75" customHeight="1">
      <c r="C549" s="358" t="s">
        <v>187</v>
      </c>
      <c r="F549" s="76" t="s">
        <v>358</v>
      </c>
      <c r="H549" s="244" t="s">
        <v>65</v>
      </c>
      <c r="I549" s="244"/>
      <c r="J549" s="244"/>
      <c r="L549" s="246" t="s">
        <v>393</v>
      </c>
      <c r="M549" s="246"/>
      <c r="O549" s="15" t="s">
        <v>115</v>
      </c>
    </row>
    <row r="550" spans="3:19" s="14" customFormat="1">
      <c r="C550" s="297" t="s">
        <v>123</v>
      </c>
      <c r="D550" s="297" t="s">
        <v>186</v>
      </c>
      <c r="E550" s="297" t="s">
        <v>411</v>
      </c>
      <c r="F550" s="296" t="s">
        <v>265</v>
      </c>
      <c r="H550" s="297" t="s">
        <v>329</v>
      </c>
      <c r="I550" s="297" t="s">
        <v>330</v>
      </c>
      <c r="J550" s="442" t="s">
        <v>265</v>
      </c>
      <c r="L550" s="297" t="s">
        <v>331</v>
      </c>
      <c r="M550" s="449" t="s">
        <v>265</v>
      </c>
      <c r="O550" s="666" t="s">
        <v>167</v>
      </c>
      <c r="P550" s="667"/>
      <c r="Q550" s="667"/>
      <c r="R550" s="667"/>
      <c r="S550" s="668"/>
    </row>
    <row r="551" spans="3:19" s="14" customFormat="1">
      <c r="C551" s="53" t="s">
        <v>188</v>
      </c>
      <c r="D551" s="286"/>
      <c r="E551" s="402">
        <f>_xlfn.IFNA(VLOOKUP($C551,'Facteurs d''émission'!$D$2:$I$344,2,FALSE),"Non renseigné")</f>
        <v>2.25</v>
      </c>
      <c r="F551" s="5">
        <f>D551*E551</f>
        <v>0</v>
      </c>
      <c r="H551" s="400">
        <f>_xlfn.IFNA(VLOOKUP($C551,'Facteurs d''émission'!$D$2:$I$344,4,FALSE),"Non présent dans la base")</f>
        <v>0.5</v>
      </c>
      <c r="I551" s="291">
        <v>0.01</v>
      </c>
      <c r="J551" s="5">
        <f>F551*(1-(1-H551)*(1-I551))</f>
        <v>0</v>
      </c>
      <c r="K551" s="14" t="str">
        <f>IF(D551*E551*H551*COUNTA(I551)&gt;0,"ok","")</f>
        <v/>
      </c>
      <c r="L551" s="292">
        <v>0.5</v>
      </c>
      <c r="M551" s="5">
        <f>L551*D551*E551</f>
        <v>0</v>
      </c>
      <c r="O551" s="321"/>
      <c r="P551" s="322"/>
      <c r="Q551" s="322"/>
      <c r="R551" s="322"/>
      <c r="S551" s="323"/>
    </row>
    <row r="552" spans="3:19" s="14" customFormat="1">
      <c r="C552" s="53" t="s">
        <v>189</v>
      </c>
      <c r="D552" s="286"/>
      <c r="E552" s="402">
        <f>_xlfn.IFNA(VLOOKUP($C552,'Facteurs d''émission'!$D$2:$I$344,2,FALSE),"Non renseigné")</f>
        <v>0.45</v>
      </c>
      <c r="F552" s="5">
        <f t="shared" ref="F552:F560" si="152">D552*E552</f>
        <v>0</v>
      </c>
      <c r="H552" s="400">
        <f>_xlfn.IFNA(VLOOKUP($C552,'Facteurs d''émission'!$D$2:$I$344,4,FALSE),"Non présent dans la base")</f>
        <v>0.5</v>
      </c>
      <c r="I552" s="291"/>
      <c r="J552" s="5">
        <f t="shared" ref="J552:J560" si="153">F552*(1-(1-H552)*(1-I552))</f>
        <v>0</v>
      </c>
      <c r="K552" s="14" t="str">
        <f t="shared" ref="K552:K560" si="154">IF(D552*E552*H552*COUNTA(I552)&gt;0,"ok","")</f>
        <v/>
      </c>
      <c r="L552" s="292"/>
      <c r="M552" s="5">
        <f t="shared" ref="M552:M560" si="155">L552*D552*E552</f>
        <v>0</v>
      </c>
      <c r="O552" s="321"/>
      <c r="P552" s="322"/>
      <c r="Q552" s="322"/>
      <c r="R552" s="322"/>
      <c r="S552" s="323"/>
    </row>
    <row r="553" spans="3:19" s="14" customFormat="1">
      <c r="C553" s="53" t="s">
        <v>398</v>
      </c>
      <c r="D553" s="286"/>
      <c r="E553" s="402">
        <f>_xlfn.IFNA(VLOOKUP($C553,'Facteurs d''émission'!$D$2:$I$344,2,FALSE),"Non renseigné")</f>
        <v>7.26</v>
      </c>
      <c r="F553" s="5">
        <f t="shared" si="152"/>
        <v>0</v>
      </c>
      <c r="H553" s="400">
        <f>_xlfn.IFNA(VLOOKUP($C553,'Facteurs d''émission'!$D$2:$I$344,4,FALSE),"Non présent dans la base")</f>
        <v>0.5</v>
      </c>
      <c r="I553" s="291"/>
      <c r="J553" s="5">
        <f t="shared" si="153"/>
        <v>0</v>
      </c>
      <c r="K553" s="14" t="str">
        <f t="shared" si="154"/>
        <v/>
      </c>
      <c r="L553" s="292"/>
      <c r="M553" s="5">
        <f t="shared" si="155"/>
        <v>0</v>
      </c>
      <c r="O553" s="321"/>
      <c r="P553" s="322"/>
      <c r="Q553" s="322"/>
      <c r="R553" s="322"/>
      <c r="S553" s="323"/>
    </row>
    <row r="554" spans="3:19" s="14" customFormat="1">
      <c r="C554" s="53" t="s">
        <v>397</v>
      </c>
      <c r="D554" s="286"/>
      <c r="E554" s="402">
        <f>_xlfn.IFNA(VLOOKUP($C554,'Facteurs d''émission'!$D$2:$I$344,2,FALSE),"Non renseigné")</f>
        <v>1.58</v>
      </c>
      <c r="F554" s="5">
        <f t="shared" si="152"/>
        <v>0</v>
      </c>
      <c r="H554" s="400">
        <f>_xlfn.IFNA(VLOOKUP($C554,'Facteurs d''émission'!$D$2:$I$344,4,FALSE),"Non présent dans la base")</f>
        <v>0.5</v>
      </c>
      <c r="I554" s="291"/>
      <c r="J554" s="5">
        <f t="shared" si="153"/>
        <v>0</v>
      </c>
      <c r="K554" s="14" t="str">
        <f t="shared" si="154"/>
        <v/>
      </c>
      <c r="L554" s="292"/>
      <c r="M554" s="5">
        <f t="shared" si="155"/>
        <v>0</v>
      </c>
      <c r="O554" s="321"/>
      <c r="P554" s="322"/>
      <c r="Q554" s="322"/>
      <c r="R554" s="322"/>
      <c r="S554" s="323"/>
    </row>
    <row r="555" spans="3:19" s="14" customFormat="1">
      <c r="C555" s="53" t="s">
        <v>357</v>
      </c>
      <c r="D555" s="286"/>
      <c r="E555" s="402">
        <f>_xlfn.IFNA(VLOOKUP($C555,'Facteurs d''émission'!$D$2:$I$344,2,FALSE),"Non renseigné")</f>
        <v>0</v>
      </c>
      <c r="F555" s="5">
        <f t="shared" si="152"/>
        <v>0</v>
      </c>
      <c r="H555" s="400">
        <f>_xlfn.IFNA(VLOOKUP($C555,'Facteurs d''émission'!$D$2:$I$344,4,FALSE),"Non présent dans la base")</f>
        <v>0</v>
      </c>
      <c r="I555" s="291"/>
      <c r="J555" s="5">
        <f t="shared" si="153"/>
        <v>0</v>
      </c>
      <c r="K555" s="14" t="str">
        <f t="shared" si="154"/>
        <v/>
      </c>
      <c r="L555" s="292"/>
      <c r="M555" s="5">
        <f t="shared" si="155"/>
        <v>0</v>
      </c>
      <c r="O555" s="321"/>
      <c r="P555" s="322"/>
      <c r="Q555" s="322"/>
      <c r="R555" s="322"/>
      <c r="S555" s="323"/>
    </row>
    <row r="556" spans="3:19" s="14" customFormat="1">
      <c r="C556" s="53" t="s">
        <v>357</v>
      </c>
      <c r="D556" s="286"/>
      <c r="E556" s="402">
        <f>_xlfn.IFNA(VLOOKUP($C556,'Facteurs d''émission'!$D$2:$I$344,2,FALSE),"Non renseigné")</f>
        <v>0</v>
      </c>
      <c r="F556" s="5">
        <f t="shared" si="152"/>
        <v>0</v>
      </c>
      <c r="H556" s="400">
        <f>_xlfn.IFNA(VLOOKUP($C556,'Facteurs d''émission'!$D$2:$I$344,4,FALSE),"Non présent dans la base")</f>
        <v>0</v>
      </c>
      <c r="I556" s="291"/>
      <c r="J556" s="5">
        <f t="shared" si="153"/>
        <v>0</v>
      </c>
      <c r="K556" s="14" t="str">
        <f t="shared" si="154"/>
        <v/>
      </c>
      <c r="L556" s="292"/>
      <c r="M556" s="5">
        <f t="shared" si="155"/>
        <v>0</v>
      </c>
      <c r="O556" s="321"/>
      <c r="P556" s="322"/>
      <c r="Q556" s="322"/>
      <c r="R556" s="322"/>
      <c r="S556" s="323"/>
    </row>
    <row r="557" spans="3:19" s="14" customFormat="1">
      <c r="C557" s="53" t="s">
        <v>357</v>
      </c>
      <c r="D557" s="286"/>
      <c r="E557" s="402">
        <f>_xlfn.IFNA(VLOOKUP($C557,'Facteurs d''émission'!$D$2:$I$344,2,FALSE),"Non renseigné")</f>
        <v>0</v>
      </c>
      <c r="F557" s="5">
        <f t="shared" si="152"/>
        <v>0</v>
      </c>
      <c r="H557" s="400">
        <f>_xlfn.IFNA(VLOOKUP($C557,'Facteurs d''émission'!$D$2:$I$344,4,FALSE),"Non présent dans la base")</f>
        <v>0</v>
      </c>
      <c r="I557" s="291"/>
      <c r="J557" s="5">
        <f t="shared" si="153"/>
        <v>0</v>
      </c>
      <c r="K557" s="14" t="str">
        <f t="shared" si="154"/>
        <v/>
      </c>
      <c r="L557" s="292"/>
      <c r="M557" s="5">
        <f t="shared" si="155"/>
        <v>0</v>
      </c>
      <c r="O557" s="321"/>
      <c r="P557" s="322"/>
      <c r="Q557" s="322"/>
      <c r="R557" s="322"/>
      <c r="S557" s="323"/>
    </row>
    <row r="558" spans="3:19" s="14" customFormat="1">
      <c r="C558" s="53" t="s">
        <v>357</v>
      </c>
      <c r="D558" s="286"/>
      <c r="E558" s="402">
        <f>_xlfn.IFNA(VLOOKUP($C558,'Facteurs d''émission'!$D$2:$I$344,2,FALSE),"Non renseigné")</f>
        <v>0</v>
      </c>
      <c r="F558" s="5">
        <f t="shared" si="152"/>
        <v>0</v>
      </c>
      <c r="H558" s="400">
        <f>_xlfn.IFNA(VLOOKUP($C558,'Facteurs d''émission'!$D$2:$I$344,4,FALSE),"Non présent dans la base")</f>
        <v>0</v>
      </c>
      <c r="I558" s="291"/>
      <c r="J558" s="5">
        <f t="shared" si="153"/>
        <v>0</v>
      </c>
      <c r="K558" s="14" t="str">
        <f t="shared" si="154"/>
        <v/>
      </c>
      <c r="L558" s="292"/>
      <c r="M558" s="5">
        <f t="shared" si="155"/>
        <v>0</v>
      </c>
      <c r="O558" s="321"/>
      <c r="P558" s="322"/>
      <c r="Q558" s="322"/>
      <c r="R558" s="322"/>
      <c r="S558" s="323"/>
    </row>
    <row r="559" spans="3:19" s="14" customFormat="1">
      <c r="C559" s="53" t="s">
        <v>357</v>
      </c>
      <c r="D559" s="286"/>
      <c r="E559" s="402">
        <f>_xlfn.IFNA(VLOOKUP($C559,'Facteurs d''émission'!$D$2:$I$344,2,FALSE),"Non renseigné")</f>
        <v>0</v>
      </c>
      <c r="F559" s="5">
        <f t="shared" si="152"/>
        <v>0</v>
      </c>
      <c r="H559" s="400">
        <f>_xlfn.IFNA(VLOOKUP($C559,'Facteurs d''émission'!$D$2:$I$344,4,FALSE),"Non présent dans la base")</f>
        <v>0</v>
      </c>
      <c r="I559" s="291"/>
      <c r="J559" s="5">
        <f t="shared" si="153"/>
        <v>0</v>
      </c>
      <c r="K559" s="14" t="str">
        <f t="shared" si="154"/>
        <v/>
      </c>
      <c r="L559" s="292"/>
      <c r="M559" s="5">
        <f t="shared" si="155"/>
        <v>0</v>
      </c>
      <c r="O559" s="321"/>
      <c r="P559" s="322"/>
      <c r="Q559" s="322"/>
      <c r="R559" s="322"/>
      <c r="S559" s="323"/>
    </row>
    <row r="560" spans="3:19" s="14" customFormat="1">
      <c r="C560" s="53" t="s">
        <v>357</v>
      </c>
      <c r="D560" s="286"/>
      <c r="E560" s="402">
        <f>_xlfn.IFNA(VLOOKUP($C560,'Facteurs d''émission'!$D$2:$I$344,2,FALSE),"Non renseigné")</f>
        <v>0</v>
      </c>
      <c r="F560" s="5">
        <f t="shared" si="152"/>
        <v>0</v>
      </c>
      <c r="H560" s="400">
        <f>_xlfn.IFNA(VLOOKUP($C560,'Facteurs d''émission'!$D$2:$I$344,4,FALSE),"Non présent dans la base")</f>
        <v>0</v>
      </c>
      <c r="I560" s="291"/>
      <c r="J560" s="5">
        <f t="shared" si="153"/>
        <v>0</v>
      </c>
      <c r="K560" s="14" t="str">
        <f t="shared" si="154"/>
        <v/>
      </c>
      <c r="L560" s="292"/>
      <c r="M560" s="5">
        <f t="shared" si="155"/>
        <v>0</v>
      </c>
      <c r="O560" s="321"/>
      <c r="P560" s="322"/>
      <c r="Q560" s="322"/>
      <c r="R560" s="322"/>
      <c r="S560" s="323"/>
    </row>
    <row r="561" spans="1:20" s="14" customFormat="1">
      <c r="C561" s="65" t="s">
        <v>26</v>
      </c>
      <c r="D561" s="66"/>
      <c r="E561" s="66"/>
      <c r="F561" s="67">
        <f>SUM(F551:F560)</f>
        <v>0</v>
      </c>
      <c r="H561" s="247" t="str">
        <f>IF(COUNTA(D551:D560)&gt;COUNTIF(K551:K560,"ok"),"! Remplir une incertitude !","")</f>
        <v/>
      </c>
      <c r="I561" s="248"/>
      <c r="J561" s="67">
        <f>SUM(J551:J560)</f>
        <v>0</v>
      </c>
      <c r="L561" s="68"/>
      <c r="M561" s="67">
        <f>SUM(M551:M560)</f>
        <v>0</v>
      </c>
      <c r="O561" s="254" t="str">
        <f>IF(M561&gt;0,IF(#REF!="","Attention: vous devez planifier une action afin de remplir votre objectif",""),"")</f>
        <v/>
      </c>
      <c r="P561" s="255"/>
      <c r="Q561" s="255"/>
      <c r="R561" s="255"/>
      <c r="S561" s="256"/>
    </row>
    <row r="562" spans="1:20" s="14" customFormat="1">
      <c r="C562" s="15"/>
      <c r="G562" s="76"/>
      <c r="K562" s="76"/>
      <c r="N562" s="76"/>
      <c r="P562" s="11"/>
      <c r="Q562" s="11"/>
      <c r="R562" s="11"/>
      <c r="S562" s="11"/>
      <c r="T562" s="11"/>
    </row>
    <row r="563" spans="1:20" s="14" customFormat="1">
      <c r="C563" s="15"/>
      <c r="G563" s="76"/>
      <c r="K563" s="76"/>
      <c r="N563" s="76"/>
      <c r="P563" s="11"/>
      <c r="Q563" s="11"/>
      <c r="R563" s="11"/>
      <c r="S563" s="11"/>
      <c r="T563" s="11"/>
    </row>
    <row r="564" spans="1:20" s="14" customFormat="1">
      <c r="C564" s="15"/>
      <c r="G564" s="76"/>
      <c r="K564" s="76"/>
      <c r="L564" s="141"/>
      <c r="N564" s="76"/>
      <c r="P564" s="11"/>
      <c r="Q564" s="11"/>
      <c r="R564" s="11"/>
      <c r="S564" s="11"/>
      <c r="T564" s="11"/>
    </row>
    <row r="565" spans="1:20" s="14" customFormat="1">
      <c r="G565" s="13"/>
      <c r="K565" s="13"/>
      <c r="N565" s="13"/>
    </row>
    <row r="566" spans="1:20" s="80" customFormat="1" ht="15.75">
      <c r="A566" s="79"/>
      <c r="B566" s="79"/>
      <c r="C566" s="693" t="s">
        <v>159</v>
      </c>
      <c r="D566" s="693"/>
      <c r="E566" s="693"/>
      <c r="F566" s="693"/>
      <c r="G566" s="693"/>
      <c r="H566" s="693"/>
      <c r="I566" s="693"/>
      <c r="J566" s="693"/>
      <c r="K566" s="693"/>
      <c r="L566" s="27"/>
      <c r="N566" s="134"/>
    </row>
    <row r="567" spans="1:20" s="80" customFormat="1" ht="12" customHeight="1">
      <c r="A567" s="79"/>
      <c r="B567" s="79"/>
      <c r="C567" s="16"/>
      <c r="D567" s="16"/>
      <c r="E567" s="16"/>
      <c r="F567" s="16"/>
      <c r="G567" s="164"/>
      <c r="H567" s="16"/>
      <c r="I567" s="16"/>
      <c r="J567" s="16"/>
      <c r="K567" s="164"/>
      <c r="L567" s="16"/>
      <c r="M567" s="16"/>
      <c r="N567" s="188"/>
    </row>
    <row r="568" spans="1:20" s="79" customFormat="1" ht="12.75" customHeight="1">
      <c r="A568" s="80"/>
      <c r="B568" s="80"/>
      <c r="C568" s="15" t="s">
        <v>140</v>
      </c>
      <c r="D568" s="16" t="s">
        <v>20</v>
      </c>
      <c r="E568" s="16"/>
      <c r="F568" s="76"/>
      <c r="H568" s="246" t="s">
        <v>65</v>
      </c>
      <c r="I568" s="246"/>
      <c r="J568" s="246"/>
      <c r="K568" s="15"/>
      <c r="L568" s="245" t="s">
        <v>117</v>
      </c>
      <c r="M568" s="249"/>
      <c r="N568" s="249"/>
      <c r="O568" s="16" t="s">
        <v>13</v>
      </c>
    </row>
    <row r="569" spans="1:20" s="80" customFormat="1">
      <c r="A569" s="79"/>
      <c r="B569" s="79"/>
      <c r="C569" s="451"/>
      <c r="D569" s="452" t="s">
        <v>265</v>
      </c>
      <c r="E569" s="447" t="s">
        <v>355</v>
      </c>
      <c r="F569" s="453" t="s">
        <v>70</v>
      </c>
      <c r="H569" s="447" t="s">
        <v>265</v>
      </c>
      <c r="I569" s="447" t="s">
        <v>355</v>
      </c>
      <c r="J569" s="447" t="s">
        <v>53</v>
      </c>
      <c r="L569" s="447" t="s">
        <v>265</v>
      </c>
      <c r="M569" s="453" t="s">
        <v>355</v>
      </c>
      <c r="N569" s="447" t="s">
        <v>52</v>
      </c>
      <c r="O569" s="447" t="s">
        <v>355</v>
      </c>
    </row>
    <row r="570" spans="1:20" s="80" customFormat="1">
      <c r="C570" s="82" t="s">
        <v>87</v>
      </c>
      <c r="D570" s="83">
        <f>F492</f>
        <v>0</v>
      </c>
      <c r="E570" s="142">
        <f>D570/1000</f>
        <v>0</v>
      </c>
      <c r="F570" s="193" t="str">
        <f>IF($E$573=0,"",$E$570/$E$573)</f>
        <v/>
      </c>
      <c r="H570" s="84">
        <f>J492</f>
        <v>0</v>
      </c>
      <c r="I570" s="142">
        <f>H570/1000</f>
        <v>0</v>
      </c>
      <c r="J570" s="191" t="str">
        <f>IF(D570=0,"",H570/D570)</f>
        <v/>
      </c>
      <c r="L570" s="84">
        <f>M492</f>
        <v>0</v>
      </c>
      <c r="M570" s="84">
        <f>L570/1000</f>
        <v>0</v>
      </c>
      <c r="N570" s="143" t="str">
        <f>IF($D570=0,"",L570/$D570)</f>
        <v/>
      </c>
      <c r="O570" s="87">
        <f>E570-M570</f>
        <v>0</v>
      </c>
    </row>
    <row r="571" spans="1:20" s="80" customFormat="1">
      <c r="C571" s="88" t="s">
        <v>160</v>
      </c>
      <c r="D571" s="89">
        <f>F527</f>
        <v>0</v>
      </c>
      <c r="E571" s="142">
        <f>D571/1000</f>
        <v>0</v>
      </c>
      <c r="F571" s="193" t="str">
        <f>IF($E$573=0,"",$E$572/$E$573)</f>
        <v/>
      </c>
      <c r="H571" s="84" t="e">
        <f>J527</f>
        <v>#VALUE!</v>
      </c>
      <c r="I571" s="142" t="e">
        <f>H571/1000</f>
        <v>#VALUE!</v>
      </c>
      <c r="J571" s="191" t="str">
        <f>IF(D571=0,"",H571/D571)</f>
        <v/>
      </c>
      <c r="L571" s="84">
        <f>M527</f>
        <v>0</v>
      </c>
      <c r="M571" s="84">
        <f>L571/1000</f>
        <v>0</v>
      </c>
      <c r="N571" s="143" t="str">
        <f>IF($D571=0,"",L571/$D571)</f>
        <v/>
      </c>
      <c r="O571" s="87">
        <f>E571-M571</f>
        <v>0</v>
      </c>
    </row>
    <row r="572" spans="1:20" s="80" customFormat="1">
      <c r="C572" s="373" t="s">
        <v>417</v>
      </c>
      <c r="D572" s="89">
        <f>F561</f>
        <v>0</v>
      </c>
      <c r="E572" s="142">
        <f>D572/1000</f>
        <v>0</v>
      </c>
      <c r="F572" s="193" t="str">
        <f>IF($E$573=0,"",$E$572/$E$573)</f>
        <v/>
      </c>
      <c r="H572" s="84">
        <f>J561</f>
        <v>0</v>
      </c>
      <c r="I572" s="142">
        <f>H572/1000</f>
        <v>0</v>
      </c>
      <c r="J572" s="191" t="str">
        <f>IF(D572=0,"",H572/D572)</f>
        <v/>
      </c>
      <c r="L572" s="84">
        <f>M561</f>
        <v>0</v>
      </c>
      <c r="M572" s="84">
        <f>L572/1000</f>
        <v>0</v>
      </c>
      <c r="N572" s="143" t="str">
        <f>IF($D572=0,"",L572/$D572)</f>
        <v/>
      </c>
      <c r="O572" s="87">
        <f>E572-M572</f>
        <v>0</v>
      </c>
    </row>
    <row r="573" spans="1:20" s="79" customFormat="1">
      <c r="C573" s="65" t="s">
        <v>26</v>
      </c>
      <c r="D573" s="67">
        <f>SUM(D570:D572)</f>
        <v>0</v>
      </c>
      <c r="E573" s="67">
        <f>SUM(E570:E572)</f>
        <v>0</v>
      </c>
      <c r="F573" s="194">
        <f>SUM(F570:F572)</f>
        <v>0</v>
      </c>
      <c r="H573" s="62" t="e">
        <f>SUM(H570:H572)</f>
        <v>#VALUE!</v>
      </c>
      <c r="I573" s="67" t="e">
        <f>SUM(I570:I572)</f>
        <v>#VALUE!</v>
      </c>
      <c r="J573" s="194" t="str">
        <f>IF(D573=0,"",H573/D573)</f>
        <v/>
      </c>
      <c r="K573" s="15"/>
      <c r="L573" s="62">
        <f>SUM(L570:L572)</f>
        <v>0</v>
      </c>
      <c r="M573" s="62">
        <f>SUM(M570:M572)</f>
        <v>0</v>
      </c>
      <c r="N573" s="92" t="str">
        <f>IF($D573=0,"",L573/$D573)</f>
        <v/>
      </c>
      <c r="O573" s="93">
        <f>SUM(O570:O572)</f>
        <v>0</v>
      </c>
    </row>
    <row r="574" spans="1:20" s="79" customFormat="1">
      <c r="A574" s="80"/>
      <c r="B574" s="80"/>
      <c r="C574" s="80"/>
      <c r="D574" s="80"/>
      <c r="E574" s="80"/>
      <c r="F574" s="80"/>
      <c r="G574" s="134"/>
      <c r="H574" s="80"/>
      <c r="I574" s="15"/>
      <c r="J574" s="15"/>
      <c r="K574" s="76"/>
      <c r="L574" s="15"/>
      <c r="M574" s="91"/>
      <c r="N574" s="76"/>
      <c r="O574" s="15"/>
      <c r="P574" s="15"/>
    </row>
    <row r="575" spans="1:20" s="79" customFormat="1">
      <c r="G575" s="107"/>
      <c r="K575" s="107"/>
      <c r="N575" s="107"/>
    </row>
    <row r="576" spans="1:20" s="9" customFormat="1">
      <c r="G576" s="97"/>
      <c r="K576" s="97"/>
      <c r="N576" s="97"/>
    </row>
    <row r="577" spans="7:14" s="9" customFormat="1">
      <c r="G577" s="97"/>
      <c r="K577" s="97"/>
      <c r="N577" s="97"/>
    </row>
    <row r="578" spans="7:14" s="9" customFormat="1">
      <c r="G578" s="97"/>
      <c r="K578" s="97"/>
      <c r="N578" s="97"/>
    </row>
    <row r="579" spans="7:14" s="9" customFormat="1">
      <c r="G579" s="97"/>
      <c r="K579" s="97"/>
      <c r="N579" s="97"/>
    </row>
    <row r="580" spans="7:14" s="9" customFormat="1">
      <c r="G580" s="97"/>
      <c r="K580" s="97"/>
      <c r="N580" s="97"/>
    </row>
    <row r="581" spans="7:14" s="9" customFormat="1">
      <c r="G581" s="97"/>
      <c r="K581" s="97"/>
      <c r="N581" s="97"/>
    </row>
    <row r="582" spans="7:14" s="9" customFormat="1">
      <c r="G582" s="97"/>
      <c r="K582" s="97"/>
      <c r="N582" s="97"/>
    </row>
    <row r="583" spans="7:14" s="9" customFormat="1">
      <c r="G583" s="97"/>
      <c r="K583" s="97"/>
      <c r="N583" s="97"/>
    </row>
    <row r="584" spans="7:14" s="9" customFormat="1">
      <c r="G584" s="97"/>
      <c r="K584" s="97"/>
      <c r="N584" s="97"/>
    </row>
    <row r="585" spans="7:14" s="9" customFormat="1">
      <c r="G585" s="97"/>
      <c r="K585" s="97"/>
      <c r="N585" s="97"/>
    </row>
    <row r="586" spans="7:14" s="9" customFormat="1">
      <c r="G586" s="97"/>
      <c r="K586" s="97"/>
      <c r="N586" s="97"/>
    </row>
    <row r="587" spans="7:14" s="9" customFormat="1">
      <c r="G587" s="97"/>
      <c r="K587" s="97"/>
      <c r="N587" s="97"/>
    </row>
    <row r="588" spans="7:14" s="9" customFormat="1">
      <c r="G588" s="97"/>
      <c r="K588" s="97"/>
      <c r="N588" s="97"/>
    </row>
    <row r="589" spans="7:14" s="9" customFormat="1">
      <c r="G589" s="97"/>
      <c r="K589" s="97"/>
      <c r="N589" s="97"/>
    </row>
    <row r="590" spans="7:14" s="9" customFormat="1">
      <c r="G590" s="97"/>
      <c r="K590" s="97"/>
      <c r="N590" s="97"/>
    </row>
    <row r="591" spans="7:14" s="9" customFormat="1" ht="11.25" customHeight="1">
      <c r="G591" s="97"/>
      <c r="K591" s="97"/>
      <c r="N591" s="97"/>
    </row>
    <row r="592" spans="7:14" s="9" customFormat="1" ht="11.25" customHeight="1">
      <c r="G592" s="97"/>
      <c r="K592" s="97"/>
      <c r="N592" s="97"/>
    </row>
    <row r="593" spans="7:14" s="9" customFormat="1" ht="11.25" customHeight="1">
      <c r="G593" s="97"/>
      <c r="K593" s="97"/>
      <c r="N593" s="97"/>
    </row>
    <row r="594" spans="7:14" s="9" customFormat="1" ht="11.25" customHeight="1">
      <c r="G594" s="97"/>
      <c r="K594" s="97"/>
      <c r="N594" s="97"/>
    </row>
    <row r="595" spans="7:14" s="9" customFormat="1" ht="11.25" customHeight="1">
      <c r="G595" s="97"/>
      <c r="K595" s="97"/>
      <c r="N595" s="97"/>
    </row>
    <row r="596" spans="7:14" s="9" customFormat="1" ht="11.25" customHeight="1">
      <c r="G596" s="97"/>
      <c r="K596" s="97"/>
      <c r="N596" s="97"/>
    </row>
    <row r="597" spans="7:14" s="9" customFormat="1" ht="11.25" customHeight="1">
      <c r="G597" s="97"/>
      <c r="K597" s="97"/>
      <c r="N597" s="97"/>
    </row>
    <row r="598" spans="7:14" s="9" customFormat="1" ht="11.25" customHeight="1">
      <c r="G598" s="97"/>
      <c r="K598" s="97"/>
      <c r="N598" s="97"/>
    </row>
    <row r="599" spans="7:14" s="9" customFormat="1" ht="11.25" customHeight="1">
      <c r="G599" s="97"/>
      <c r="K599" s="97"/>
      <c r="N599" s="97"/>
    </row>
    <row r="600" spans="7:14" s="9" customFormat="1">
      <c r="G600" s="97"/>
      <c r="K600" s="97"/>
      <c r="N600" s="97"/>
    </row>
    <row r="601" spans="7:14" s="9" customFormat="1">
      <c r="G601" s="97"/>
      <c r="K601" s="97"/>
      <c r="N601" s="97"/>
    </row>
    <row r="602" spans="7:14" s="9" customFormat="1">
      <c r="G602" s="97"/>
      <c r="K602" s="97"/>
      <c r="N602" s="97"/>
    </row>
    <row r="603" spans="7:14" s="9" customFormat="1">
      <c r="G603" s="97"/>
      <c r="K603" s="97"/>
      <c r="N603" s="97"/>
    </row>
    <row r="604" spans="7:14" s="9" customFormat="1">
      <c r="G604" s="97"/>
      <c r="K604" s="97"/>
      <c r="N604" s="97"/>
    </row>
    <row r="605" spans="7:14" s="9" customFormat="1">
      <c r="G605" s="97"/>
      <c r="K605" s="97"/>
      <c r="N605" s="97"/>
    </row>
    <row r="606" spans="7:14" s="9" customFormat="1">
      <c r="G606" s="97"/>
      <c r="K606" s="97"/>
      <c r="N606" s="97"/>
    </row>
    <row r="607" spans="7:14" s="9" customFormat="1">
      <c r="G607" s="97"/>
      <c r="K607" s="97"/>
      <c r="N607" s="97"/>
    </row>
    <row r="608" spans="7:14" s="9" customFormat="1">
      <c r="G608" s="97"/>
      <c r="K608" s="97"/>
      <c r="N608" s="97"/>
    </row>
    <row r="609" spans="3:20" s="9" customFormat="1">
      <c r="G609" s="97"/>
      <c r="K609" s="97"/>
      <c r="N609" s="97"/>
    </row>
    <row r="610" spans="3:20" s="9" customFormat="1">
      <c r="G610" s="97"/>
      <c r="K610" s="97"/>
      <c r="N610" s="97"/>
    </row>
    <row r="611" spans="3:20" s="9" customFormat="1">
      <c r="G611" s="97"/>
      <c r="K611" s="97"/>
      <c r="N611" s="97"/>
    </row>
    <row r="612" spans="3:20" s="9" customFormat="1">
      <c r="G612" s="97"/>
      <c r="K612" s="97"/>
      <c r="N612" s="97"/>
    </row>
    <row r="613" spans="3:20" s="9" customFormat="1">
      <c r="G613" s="97"/>
      <c r="K613" s="97"/>
      <c r="N613" s="97"/>
    </row>
    <row r="614" spans="3:20" s="14" customFormat="1" ht="23.25">
      <c r="C614" s="698" t="s">
        <v>74</v>
      </c>
      <c r="D614" s="698"/>
      <c r="E614" s="698"/>
      <c r="F614" s="698"/>
      <c r="G614" s="698"/>
      <c r="H614" s="698"/>
      <c r="I614" s="698"/>
      <c r="J614" s="698"/>
      <c r="K614" s="699"/>
      <c r="L614" s="699"/>
      <c r="N614" s="13"/>
    </row>
    <row r="615" spans="3:20" s="14" customFormat="1" ht="24" customHeight="1">
      <c r="G615" s="13"/>
      <c r="K615" s="13"/>
      <c r="N615" s="13"/>
    </row>
    <row r="616" spans="3:20" s="14" customFormat="1">
      <c r="E616" s="15" t="s">
        <v>384</v>
      </c>
      <c r="G616" s="13"/>
      <c r="K616" s="13"/>
      <c r="N616" s="13"/>
    </row>
    <row r="617" spans="3:20" s="14" customFormat="1">
      <c r="G617" s="13"/>
      <c r="K617" s="13"/>
      <c r="N617" s="13"/>
    </row>
    <row r="618" spans="3:20" s="14" customFormat="1">
      <c r="C618" s="357" t="s">
        <v>161</v>
      </c>
      <c r="G618" s="76" t="s">
        <v>358</v>
      </c>
      <c r="I618" s="629" t="s">
        <v>65</v>
      </c>
      <c r="J618" s="629"/>
      <c r="K618" s="629"/>
      <c r="M618" s="610" t="s">
        <v>393</v>
      </c>
      <c r="N618" s="610"/>
      <c r="P618" s="15" t="s">
        <v>115</v>
      </c>
    </row>
    <row r="619" spans="3:20" s="14" customFormat="1">
      <c r="C619" s="297" t="s">
        <v>110</v>
      </c>
      <c r="D619" s="297" t="s">
        <v>412</v>
      </c>
      <c r="E619" s="297" t="s">
        <v>396</v>
      </c>
      <c r="F619"/>
      <c r="G619" s="296" t="s">
        <v>265</v>
      </c>
      <c r="I619" s="297" t="s">
        <v>329</v>
      </c>
      <c r="J619" s="297" t="s">
        <v>330</v>
      </c>
      <c r="K619" s="442" t="s">
        <v>265</v>
      </c>
      <c r="M619" s="297" t="s">
        <v>331</v>
      </c>
      <c r="N619" s="442" t="s">
        <v>265</v>
      </c>
      <c r="P619" s="611" t="s">
        <v>167</v>
      </c>
      <c r="Q619" s="611"/>
      <c r="R619" s="611"/>
      <c r="S619" s="611"/>
      <c r="T619" s="611"/>
    </row>
    <row r="620" spans="3:20" s="14" customFormat="1">
      <c r="C620" s="28" t="s">
        <v>233</v>
      </c>
      <c r="D620" s="310"/>
      <c r="E620" s="436">
        <f>_xlfn.IFNA(VLOOKUP($C620,'Facteurs d''émission'!$D$2:$I$344,2,FALSE),"Non renseigné")</f>
        <v>48.1</v>
      </c>
      <c r="F620"/>
      <c r="G620" s="5">
        <f>D620*E620</f>
        <v>0</v>
      </c>
      <c r="I620" s="400">
        <f>_xlfn.IFNA(VLOOKUP($C620,'Facteurs d''émission'!$D$2:$I$344,4,FALSE),"Non présent dans la base")</f>
        <v>1</v>
      </c>
      <c r="J620" s="311">
        <v>0.01</v>
      </c>
      <c r="K620" s="5">
        <f>G620*(1-(1-I620)*(1-J620))</f>
        <v>0</v>
      </c>
      <c r="L620" s="14" t="str">
        <f>IF(D620*COUNTA(J620)&gt;0,"ok","")</f>
        <v/>
      </c>
      <c r="M620" s="292">
        <v>0.25</v>
      </c>
      <c r="N620" s="5">
        <f>G620*M620</f>
        <v>0</v>
      </c>
      <c r="P620" s="672"/>
      <c r="Q620" s="673"/>
      <c r="R620" s="673"/>
      <c r="S620" s="673"/>
      <c r="T620" s="674"/>
    </row>
    <row r="621" spans="3:20" s="14" customFormat="1">
      <c r="C621" s="5" t="s">
        <v>231</v>
      </c>
      <c r="D621" s="310"/>
      <c r="E621" s="436">
        <f>_xlfn.IFNA(VLOOKUP($C621,'Facteurs d''émission'!$D$2:$I$344,2,FALSE),"Non renseigné")</f>
        <v>877</v>
      </c>
      <c r="F621"/>
      <c r="G621" s="5">
        <f>D621*E621</f>
        <v>0</v>
      </c>
      <c r="I621" s="400">
        <f>_xlfn.IFNA(VLOOKUP($C621,'Facteurs d''émission'!$D$2:$I$344,4,FALSE),"Non présent dans la base")</f>
        <v>1</v>
      </c>
      <c r="J621" s="311">
        <v>0.01</v>
      </c>
      <c r="K621" s="5">
        <f>G621*(1-(1-I621)*(1-J621))</f>
        <v>0</v>
      </c>
      <c r="L621" s="14" t="str">
        <f>IF(D621*COUNTA(J621)&gt;0,"ok","")</f>
        <v/>
      </c>
      <c r="M621" s="292">
        <v>1</v>
      </c>
      <c r="N621" s="5">
        <f>G621*M621</f>
        <v>0</v>
      </c>
      <c r="P621" s="672"/>
      <c r="Q621" s="673"/>
      <c r="R621" s="673"/>
      <c r="S621" s="673"/>
      <c r="T621" s="674"/>
    </row>
    <row r="622" spans="3:20" s="14" customFormat="1">
      <c r="C622" s="5" t="s">
        <v>178</v>
      </c>
      <c r="D622" s="310"/>
      <c r="E622" s="436">
        <f>_xlfn.IFNA(VLOOKUP($C622,'Facteurs d''émission'!$D$2:$I$344,2,FALSE),"Non renseigné")</f>
        <v>1063</v>
      </c>
      <c r="F622"/>
      <c r="G622" s="5">
        <f>D622*E622</f>
        <v>0</v>
      </c>
      <c r="I622" s="400">
        <f>_xlfn.IFNA(VLOOKUP($C622,'Facteurs d''émission'!$D$2:$I$344,4,FALSE),"Non présent dans la base")</f>
        <v>0.2</v>
      </c>
      <c r="J622" s="311">
        <v>0.01</v>
      </c>
      <c r="K622" s="5">
        <f>G622*(1-(1-I622)*(1-J622))</f>
        <v>0</v>
      </c>
      <c r="L622" s="14" t="str">
        <f>IF(D622*COUNTA(J622)&gt;0,"ok","")</f>
        <v/>
      </c>
      <c r="M622" s="292">
        <v>0.5</v>
      </c>
      <c r="N622" s="5">
        <f>G622*M622</f>
        <v>0</v>
      </c>
      <c r="P622" s="672"/>
      <c r="Q622" s="673"/>
      <c r="R622" s="673"/>
      <c r="S622" s="673"/>
      <c r="T622" s="674"/>
    </row>
    <row r="623" spans="3:20" s="14" customFormat="1">
      <c r="C623" s="5" t="s">
        <v>232</v>
      </c>
      <c r="D623" s="310"/>
      <c r="E623" s="436" t="str">
        <f>_xlfn.IFNA(VLOOKUP($C623,'Facteurs d''émission'!$D$2:$I$344,2,FALSE),"Non renseigné")</f>
        <v>Non renseigné</v>
      </c>
      <c r="F623"/>
      <c r="G623" s="5">
        <f>IF(ISNUMBER(E623),D623*E623,0)</f>
        <v>0</v>
      </c>
      <c r="I623" s="400" t="str">
        <f>_xlfn.IFNA(VLOOKUP($C623,'Facteurs d''émission'!$D$2:$I$344,4,FALSE),"Non présent dans la base")</f>
        <v>Non présent dans la base</v>
      </c>
      <c r="J623" s="311">
        <v>0.01</v>
      </c>
      <c r="K623" s="5" t="e">
        <f>G623*(1-(1-I623)*(1-J623))</f>
        <v>#VALUE!</v>
      </c>
      <c r="L623" s="14" t="str">
        <f>IF(D623*COUNTA(J623)&gt;0,"ok","")</f>
        <v/>
      </c>
      <c r="M623" s="292">
        <v>0.5</v>
      </c>
      <c r="N623" s="5">
        <f>G623*M623</f>
        <v>0</v>
      </c>
      <c r="P623" s="672"/>
      <c r="Q623" s="673"/>
      <c r="R623" s="673"/>
      <c r="S623" s="673"/>
      <c r="T623" s="674"/>
    </row>
    <row r="624" spans="3:20" s="14" customFormat="1">
      <c r="C624" s="5" t="s">
        <v>233</v>
      </c>
      <c r="D624" s="310"/>
      <c r="E624" s="436">
        <f>_xlfn.IFNA(VLOOKUP($C624,'Facteurs d''émission'!$D$2:$I$344,2,FALSE),"Non renseigné")</f>
        <v>48.1</v>
      </c>
      <c r="F624"/>
      <c r="G624" s="5">
        <f t="shared" ref="G624:G630" si="156">IF(ISNUMBER(E624),D624*E624,0)</f>
        <v>0</v>
      </c>
      <c r="I624" s="400">
        <f>_xlfn.IFNA(VLOOKUP($C624,'Facteurs d''émission'!$D$2:$I$344,4,FALSE),"Non présent dans la base")</f>
        <v>1</v>
      </c>
      <c r="J624" s="311">
        <v>0.01</v>
      </c>
      <c r="K624" s="5">
        <f t="shared" ref="K624:K630" si="157">G624*(1-(1-I624)*(1-J624))</f>
        <v>0</v>
      </c>
      <c r="L624" s="14" t="str">
        <f t="shared" ref="L624:L630" si="158">IF(D624*COUNTA(J624)&gt;0,"ok","")</f>
        <v/>
      </c>
      <c r="M624" s="292"/>
      <c r="N624" s="5">
        <f t="shared" ref="N624:N630" si="159">G624*M624</f>
        <v>0</v>
      </c>
      <c r="P624" s="672"/>
      <c r="Q624" s="673"/>
      <c r="R624" s="673"/>
      <c r="S624" s="673"/>
      <c r="T624" s="674"/>
    </row>
    <row r="625" spans="3:20" s="14" customFormat="1">
      <c r="C625" s="5" t="s">
        <v>357</v>
      </c>
      <c r="D625" s="310"/>
      <c r="E625" s="436">
        <f>_xlfn.IFNA(VLOOKUP($C625,'Facteurs d''émission'!$D$2:$I$344,2,FALSE),"Non renseigné")</f>
        <v>0</v>
      </c>
      <c r="F625"/>
      <c r="G625" s="5">
        <f t="shared" si="156"/>
        <v>0</v>
      </c>
      <c r="I625" s="400">
        <f>_xlfn.IFNA(VLOOKUP($C625,'Facteurs d''émission'!$D$2:$I$344,4,FALSE),"Non présent dans la base")</f>
        <v>0</v>
      </c>
      <c r="J625" s="311"/>
      <c r="K625" s="5">
        <f t="shared" si="157"/>
        <v>0</v>
      </c>
      <c r="L625" s="14" t="str">
        <f t="shared" si="158"/>
        <v/>
      </c>
      <c r="M625" s="292"/>
      <c r="N625" s="5">
        <f t="shared" si="159"/>
        <v>0</v>
      </c>
      <c r="P625" s="672"/>
      <c r="Q625" s="673"/>
      <c r="R625" s="673"/>
      <c r="S625" s="673"/>
      <c r="T625" s="674"/>
    </row>
    <row r="626" spans="3:20" s="14" customFormat="1">
      <c r="C626" s="5" t="s">
        <v>357</v>
      </c>
      <c r="D626" s="310"/>
      <c r="E626" s="436">
        <f>_xlfn.IFNA(VLOOKUP($C626,'Facteurs d''émission'!$D$2:$I$344,2,FALSE),"Non renseigné")</f>
        <v>0</v>
      </c>
      <c r="F626"/>
      <c r="G626" s="5">
        <f t="shared" si="156"/>
        <v>0</v>
      </c>
      <c r="I626" s="400">
        <f>_xlfn.IFNA(VLOOKUP($C626,'Facteurs d''émission'!$D$2:$I$344,4,FALSE),"Non présent dans la base")</f>
        <v>0</v>
      </c>
      <c r="J626" s="311"/>
      <c r="K626" s="5">
        <f t="shared" si="157"/>
        <v>0</v>
      </c>
      <c r="L626" s="14" t="str">
        <f t="shared" si="158"/>
        <v/>
      </c>
      <c r="M626" s="292"/>
      <c r="N626" s="5">
        <f t="shared" si="159"/>
        <v>0</v>
      </c>
      <c r="P626" s="672"/>
      <c r="Q626" s="673"/>
      <c r="R626" s="673"/>
      <c r="S626" s="673"/>
      <c r="T626" s="674"/>
    </row>
    <row r="627" spans="3:20" s="14" customFormat="1">
      <c r="C627" s="5" t="s">
        <v>357</v>
      </c>
      <c r="D627" s="310"/>
      <c r="E627" s="436">
        <f>_xlfn.IFNA(VLOOKUP($C627,'Facteurs d''émission'!$D$2:$I$344,2,FALSE),"Non renseigné")</f>
        <v>0</v>
      </c>
      <c r="F627"/>
      <c r="G627" s="5">
        <f t="shared" si="156"/>
        <v>0</v>
      </c>
      <c r="I627" s="400">
        <f>_xlfn.IFNA(VLOOKUP($C627,'Facteurs d''émission'!$D$2:$I$344,4,FALSE),"Non présent dans la base")</f>
        <v>0</v>
      </c>
      <c r="J627" s="311"/>
      <c r="K627" s="5">
        <f t="shared" si="157"/>
        <v>0</v>
      </c>
      <c r="L627" s="14" t="str">
        <f t="shared" si="158"/>
        <v/>
      </c>
      <c r="M627" s="292"/>
      <c r="N627" s="5">
        <f t="shared" si="159"/>
        <v>0</v>
      </c>
      <c r="P627" s="672"/>
      <c r="Q627" s="673"/>
      <c r="R627" s="673"/>
      <c r="S627" s="673"/>
      <c r="T627" s="674"/>
    </row>
    <row r="628" spans="3:20" s="14" customFormat="1">
      <c r="C628" s="5" t="s">
        <v>357</v>
      </c>
      <c r="D628" s="310"/>
      <c r="E628" s="436">
        <f>_xlfn.IFNA(VLOOKUP($C628,'Facteurs d''émission'!$D$2:$I$344,2,FALSE),"Non renseigné")</f>
        <v>0</v>
      </c>
      <c r="F628"/>
      <c r="G628" s="5">
        <f t="shared" si="156"/>
        <v>0</v>
      </c>
      <c r="I628" s="400">
        <f>_xlfn.IFNA(VLOOKUP($C628,'Facteurs d''émission'!$D$2:$I$344,4,FALSE),"Non présent dans la base")</f>
        <v>0</v>
      </c>
      <c r="J628" s="311"/>
      <c r="K628" s="5">
        <f t="shared" si="157"/>
        <v>0</v>
      </c>
      <c r="L628" s="14" t="str">
        <f t="shared" si="158"/>
        <v/>
      </c>
      <c r="M628" s="292"/>
      <c r="N628" s="5">
        <f t="shared" si="159"/>
        <v>0</v>
      </c>
      <c r="P628" s="672"/>
      <c r="Q628" s="673"/>
      <c r="R628" s="673"/>
      <c r="S628" s="673"/>
      <c r="T628" s="674"/>
    </row>
    <row r="629" spans="3:20" s="14" customFormat="1">
      <c r="C629" s="5" t="s">
        <v>357</v>
      </c>
      <c r="D629" s="310"/>
      <c r="E629" s="436">
        <f>_xlfn.IFNA(VLOOKUP($C629,'Facteurs d''émission'!$D$2:$I$344,2,FALSE),"Non renseigné")</f>
        <v>0</v>
      </c>
      <c r="F629"/>
      <c r="G629" s="5">
        <f t="shared" si="156"/>
        <v>0</v>
      </c>
      <c r="I629" s="400">
        <f>_xlfn.IFNA(VLOOKUP($C629,'Facteurs d''émission'!$D$2:$I$344,4,FALSE),"Non présent dans la base")</f>
        <v>0</v>
      </c>
      <c r="J629" s="311"/>
      <c r="K629" s="5">
        <f t="shared" si="157"/>
        <v>0</v>
      </c>
      <c r="L629" s="14" t="str">
        <f t="shared" si="158"/>
        <v/>
      </c>
      <c r="M629" s="292"/>
      <c r="N629" s="5">
        <f t="shared" si="159"/>
        <v>0</v>
      </c>
      <c r="P629" s="672"/>
      <c r="Q629" s="673"/>
      <c r="R629" s="673"/>
      <c r="S629" s="673"/>
      <c r="T629" s="674"/>
    </row>
    <row r="630" spans="3:20" s="14" customFormat="1">
      <c r="C630" s="5" t="s">
        <v>357</v>
      </c>
      <c r="D630" s="310"/>
      <c r="E630" s="436">
        <f>_xlfn.IFNA(VLOOKUP($C630,'Facteurs d''émission'!$D$2:$I$344,2,FALSE),"Non renseigné")</f>
        <v>0</v>
      </c>
      <c r="F630"/>
      <c r="G630" s="5">
        <f t="shared" si="156"/>
        <v>0</v>
      </c>
      <c r="I630" s="400">
        <f>_xlfn.IFNA(VLOOKUP($C630,'Facteurs d''émission'!$D$2:$I$344,4,FALSE),"Non présent dans la base")</f>
        <v>0</v>
      </c>
      <c r="J630" s="311"/>
      <c r="K630" s="5">
        <f t="shared" si="157"/>
        <v>0</v>
      </c>
      <c r="L630" s="14" t="str">
        <f t="shared" si="158"/>
        <v/>
      </c>
      <c r="M630" s="292"/>
      <c r="N630" s="5">
        <f t="shared" si="159"/>
        <v>0</v>
      </c>
      <c r="P630" s="672"/>
      <c r="Q630" s="673"/>
      <c r="R630" s="673"/>
      <c r="S630" s="673"/>
      <c r="T630" s="674"/>
    </row>
    <row r="631" spans="3:20" s="14" customFormat="1">
      <c r="C631" s="372" t="s">
        <v>26</v>
      </c>
      <c r="D631" s="376">
        <f>SUM(D620:D630)</f>
        <v>0</v>
      </c>
      <c r="E631" s="17"/>
      <c r="F631"/>
      <c r="G631" s="62">
        <f>SUM(G620:G630)</f>
        <v>0</v>
      </c>
      <c r="I631" s="627" t="str">
        <f>IF(COUNTA(D620:D630)&gt;COUNTIF(L620:L630,"ok"),"! Remplir une incertitude !","")</f>
        <v/>
      </c>
      <c r="J631" s="628"/>
      <c r="K631" s="67" t="e">
        <f>SUM(K620:K630)</f>
        <v>#VALUE!</v>
      </c>
      <c r="M631" s="68"/>
      <c r="N631" s="67">
        <f>SUM(N620:N630)</f>
        <v>0</v>
      </c>
      <c r="P631" s="650" t="str">
        <f>IF(N631&gt;0,IF(#REF!="","Attention: vous devez planifier une action afin de remplir votre objectif",""),"")</f>
        <v/>
      </c>
      <c r="Q631" s="650"/>
      <c r="R631" s="650"/>
      <c r="S631" s="650"/>
      <c r="T631" s="650"/>
    </row>
    <row r="632" spans="3:20" s="14" customFormat="1">
      <c r="C632" s="15"/>
      <c r="F632"/>
      <c r="G632" s="76"/>
      <c r="I632" s="77"/>
      <c r="J632" s="592"/>
      <c r="K632" s="76"/>
      <c r="N632" s="76"/>
      <c r="P632" s="11"/>
      <c r="Q632" s="11"/>
      <c r="R632" s="11"/>
      <c r="S632" s="11"/>
      <c r="T632" s="11"/>
    </row>
    <row r="633" spans="3:20" s="14" customFormat="1">
      <c r="C633" s="15"/>
      <c r="F633"/>
      <c r="G633" s="76"/>
      <c r="I633" s="77"/>
      <c r="J633" s="592"/>
      <c r="K633" s="76"/>
      <c r="N633" s="76"/>
      <c r="P633" s="11"/>
      <c r="Q633" s="11"/>
      <c r="R633" s="11"/>
      <c r="S633" s="11"/>
      <c r="T633" s="11"/>
    </row>
    <row r="634" spans="3:20" s="14" customFormat="1">
      <c r="C634" s="15"/>
      <c r="F634"/>
      <c r="G634" s="76"/>
      <c r="I634" s="77"/>
      <c r="J634" s="592"/>
      <c r="K634" s="76"/>
      <c r="N634" s="76"/>
      <c r="P634" s="11"/>
      <c r="Q634" s="11"/>
      <c r="R634" s="11"/>
      <c r="S634" s="11"/>
      <c r="T634" s="11"/>
    </row>
    <row r="635" spans="3:20" s="14" customFormat="1">
      <c r="C635" s="15"/>
      <c r="E635" s="15" t="s">
        <v>438</v>
      </c>
      <c r="F635"/>
      <c r="G635" s="76"/>
      <c r="I635" s="77"/>
      <c r="J635" s="592"/>
      <c r="K635" s="76"/>
      <c r="N635" s="76"/>
      <c r="P635" s="11"/>
      <c r="Q635" s="11"/>
      <c r="R635" s="11"/>
      <c r="S635" s="11"/>
      <c r="T635" s="11"/>
    </row>
    <row r="636" spans="3:20" s="14" customFormat="1">
      <c r="C636" s="15"/>
      <c r="F636"/>
      <c r="G636" s="76"/>
      <c r="I636" s="77"/>
      <c r="J636" s="592"/>
      <c r="K636" s="76"/>
      <c r="N636" s="76"/>
      <c r="P636" s="11"/>
      <c r="Q636" s="11"/>
      <c r="R636" s="11"/>
      <c r="S636" s="11"/>
      <c r="T636" s="11"/>
    </row>
    <row r="637" spans="3:20" s="14" customFormat="1">
      <c r="G637" s="13"/>
      <c r="K637" s="13"/>
      <c r="N637" s="13"/>
    </row>
    <row r="638" spans="3:20" s="14" customFormat="1">
      <c r="C638" s="357" t="s">
        <v>435</v>
      </c>
      <c r="G638" s="76" t="s">
        <v>358</v>
      </c>
      <c r="I638" s="629" t="s">
        <v>65</v>
      </c>
      <c r="J638" s="629"/>
      <c r="K638" s="629"/>
      <c r="M638" s="610" t="s">
        <v>393</v>
      </c>
      <c r="N638" s="610"/>
      <c r="P638" s="15" t="s">
        <v>115</v>
      </c>
    </row>
    <row r="639" spans="3:20" s="14" customFormat="1">
      <c r="C639" s="591" t="s">
        <v>110</v>
      </c>
      <c r="D639" s="591" t="s">
        <v>436</v>
      </c>
      <c r="E639" s="591" t="s">
        <v>453</v>
      </c>
      <c r="G639" s="296" t="s">
        <v>265</v>
      </c>
      <c r="I639" s="591" t="s">
        <v>329</v>
      </c>
      <c r="J639" s="591" t="s">
        <v>330</v>
      </c>
      <c r="K639" s="442" t="s">
        <v>265</v>
      </c>
      <c r="M639" s="591" t="s">
        <v>331</v>
      </c>
      <c r="N639" s="442" t="s">
        <v>265</v>
      </c>
      <c r="P639" s="611" t="s">
        <v>167</v>
      </c>
      <c r="Q639" s="611"/>
      <c r="R639" s="611"/>
      <c r="S639" s="611"/>
      <c r="T639" s="611"/>
    </row>
    <row r="640" spans="3:20" s="14" customFormat="1">
      <c r="C640" s="28" t="s">
        <v>357</v>
      </c>
      <c r="D640" s="310"/>
      <c r="E640" s="399">
        <f>_xlfn.IFNA(VLOOKUP($C640,'Facteurs d''émission'!$D$2:$I$344,2,FALSE),"Non renseigné")</f>
        <v>0</v>
      </c>
      <c r="G640" s="744">
        <f>IF(ISNUMBER(E640),D640*E640,0)</f>
        <v>0</v>
      </c>
      <c r="I640" s="400">
        <f>_xlfn.IFNA(VLOOKUP($C640,'Facteurs d''émission'!$D$2:$I$344,4,FALSE),"Non présent dans la base")</f>
        <v>0</v>
      </c>
      <c r="J640" s="311"/>
      <c r="K640" s="5">
        <f>G640*(1-(1-I640)*(1-J640))</f>
        <v>0</v>
      </c>
      <c r="M640" s="292"/>
      <c r="N640" s="5">
        <f>G640*M640</f>
        <v>0</v>
      </c>
      <c r="P640" s="612"/>
      <c r="Q640" s="613"/>
      <c r="R640" s="613"/>
      <c r="S640" s="613"/>
      <c r="T640" s="614"/>
    </row>
    <row r="641" spans="1:26" s="14" customFormat="1">
      <c r="G641" s="13"/>
      <c r="K641" s="13"/>
      <c r="N641" s="13"/>
    </row>
    <row r="642" spans="1:26" s="14" customFormat="1">
      <c r="F642" s="13"/>
      <c r="G642" s="13"/>
      <c r="K642" s="13"/>
      <c r="N642" s="13"/>
    </row>
    <row r="643" spans="1:26" s="9" customFormat="1">
      <c r="G643" s="97"/>
      <c r="K643" s="97"/>
      <c r="N643" s="97"/>
    </row>
    <row r="644" spans="1:26" s="9" customFormat="1">
      <c r="G644" s="97"/>
      <c r="K644" s="97"/>
      <c r="N644" s="97"/>
    </row>
    <row r="645" spans="1:26" s="80" customFormat="1" ht="15.75">
      <c r="A645" s="79"/>
      <c r="B645" s="79"/>
      <c r="C645" s="694" t="s">
        <v>162</v>
      </c>
      <c r="D645" s="694"/>
      <c r="E645" s="694"/>
      <c r="F645" s="694"/>
      <c r="G645" s="694"/>
      <c r="H645" s="694"/>
      <c r="I645" s="694"/>
      <c r="J645" s="694"/>
      <c r="K645" s="694"/>
      <c r="L645" s="27"/>
      <c r="N645" s="134"/>
    </row>
    <row r="646" spans="1:26" s="79" customFormat="1">
      <c r="G646" s="107"/>
      <c r="K646" s="107"/>
      <c r="N646" s="107"/>
    </row>
    <row r="647" spans="1:26" s="80" customFormat="1" ht="12.75">
      <c r="A647" s="79"/>
      <c r="B647" s="79"/>
      <c r="C647" s="15" t="s">
        <v>140</v>
      </c>
      <c r="D647" s="15"/>
      <c r="E647" s="16" t="s">
        <v>20</v>
      </c>
      <c r="F647" s="16"/>
      <c r="G647" s="76"/>
      <c r="H647" s="15"/>
      <c r="I647" s="610" t="s">
        <v>65</v>
      </c>
      <c r="J647" s="610"/>
      <c r="K647" s="610"/>
      <c r="L647" s="15"/>
      <c r="M647" s="645" t="s">
        <v>117</v>
      </c>
      <c r="N647" s="630"/>
      <c r="O647" s="630"/>
      <c r="P647" s="16" t="s">
        <v>13</v>
      </c>
      <c r="Q647" s="79"/>
      <c r="R647" s="79"/>
      <c r="S647" s="79"/>
      <c r="T647" s="79"/>
      <c r="U647" s="79"/>
      <c r="V647" s="79"/>
      <c r="W647" s="79"/>
      <c r="X647" s="79"/>
      <c r="Y647" s="79"/>
      <c r="Z647" s="94"/>
    </row>
    <row r="648" spans="1:26" s="80" customFormat="1">
      <c r="A648" s="79"/>
      <c r="B648" s="79"/>
      <c r="C648" s="593" t="s">
        <v>137</v>
      </c>
      <c r="D648" s="454"/>
      <c r="E648" s="594" t="s">
        <v>265</v>
      </c>
      <c r="F648" s="595" t="s">
        <v>355</v>
      </c>
      <c r="G648" s="596" t="s">
        <v>70</v>
      </c>
      <c r="I648" s="448" t="s">
        <v>265</v>
      </c>
      <c r="J648" s="448" t="s">
        <v>355</v>
      </c>
      <c r="K648" s="448" t="s">
        <v>53</v>
      </c>
      <c r="M648" s="448" t="s">
        <v>265</v>
      </c>
      <c r="N648" s="455" t="s">
        <v>355</v>
      </c>
      <c r="O648" s="448" t="s">
        <v>52</v>
      </c>
      <c r="P648" s="448" t="s">
        <v>355</v>
      </c>
    </row>
    <row r="649" spans="1:26" s="80" customFormat="1">
      <c r="C649" s="17" t="s">
        <v>263</v>
      </c>
      <c r="D649" s="597"/>
      <c r="E649" s="84">
        <f>G631</f>
        <v>0</v>
      </c>
      <c r="F649" s="84">
        <f>E649/1000</f>
        <v>0</v>
      </c>
      <c r="G649" s="191" t="str">
        <f>IF(F$651=0,"",F649/F$651)</f>
        <v/>
      </c>
      <c r="I649" s="84" t="e">
        <f>K631</f>
        <v>#VALUE!</v>
      </c>
      <c r="J649" s="84" t="e">
        <f>I649/1000</f>
        <v>#VALUE!</v>
      </c>
      <c r="K649" s="191" t="str">
        <f>IF(E649=0,"",I649/E649)</f>
        <v/>
      </c>
      <c r="M649" s="84">
        <f>N631</f>
        <v>0</v>
      </c>
      <c r="N649" s="84">
        <f>M649/1000</f>
        <v>0</v>
      </c>
      <c r="O649" s="86" t="str">
        <f>IF($E649=0,"",M649/$E649)</f>
        <v/>
      </c>
      <c r="P649" s="87">
        <f>F649-N649</f>
        <v>0</v>
      </c>
    </row>
    <row r="650" spans="1:26" s="80" customFormat="1">
      <c r="C650" s="17" t="s">
        <v>437</v>
      </c>
      <c r="D650" s="597"/>
      <c r="E650" s="84">
        <f>G640</f>
        <v>0</v>
      </c>
      <c r="F650" s="84">
        <f>E650/1000</f>
        <v>0</v>
      </c>
      <c r="G650" s="191" t="str">
        <f>IF(F$651=0,"",F650/F$651)</f>
        <v/>
      </c>
      <c r="I650" s="84">
        <f>K640</f>
        <v>0</v>
      </c>
      <c r="J650" s="84">
        <f>I650/1000</f>
        <v>0</v>
      </c>
      <c r="K650" s="191" t="str">
        <f>IF(E650=0,"",I650/E650)</f>
        <v/>
      </c>
      <c r="M650" s="84">
        <f>N640</f>
        <v>0</v>
      </c>
      <c r="N650" s="84">
        <f>M650/1000</f>
        <v>0</v>
      </c>
      <c r="O650" s="86" t="str">
        <f>IF($E650=0,"",M650/$E650)</f>
        <v/>
      </c>
      <c r="P650" s="87">
        <f>F650-N650</f>
        <v>0</v>
      </c>
    </row>
    <row r="651" spans="1:26" s="79" customFormat="1">
      <c r="C651" s="65" t="s">
        <v>12</v>
      </c>
      <c r="D651" s="70"/>
      <c r="E651" s="67">
        <f>SUM(E649:E650)</f>
        <v>0</v>
      </c>
      <c r="F651" s="67">
        <f>SUM(F649:F650)</f>
        <v>0</v>
      </c>
      <c r="G651" s="92">
        <f>SUM(G649:G650)</f>
        <v>0</v>
      </c>
      <c r="H651" s="15"/>
      <c r="I651" s="62" t="e">
        <f>SUM(I649:I650)</f>
        <v>#VALUE!</v>
      </c>
      <c r="J651" s="67" t="e">
        <f>SUM(J649:J650)</f>
        <v>#VALUE!</v>
      </c>
      <c r="K651" s="194" t="str">
        <f>IF(E651=0,"",I651/E651)</f>
        <v/>
      </c>
      <c r="L651" s="15"/>
      <c r="M651" s="62">
        <f>SUM(M649:M649)</f>
        <v>0</v>
      </c>
      <c r="N651" s="62">
        <f>SUM(N649:N649)</f>
        <v>0</v>
      </c>
      <c r="O651" s="92" t="str">
        <f>IF($E651=0,"",M651/$E651)</f>
        <v/>
      </c>
      <c r="P651" s="93">
        <f>SUM(P649:P649)</f>
        <v>0</v>
      </c>
    </row>
    <row r="652" spans="1:26" s="79" customFormat="1">
      <c r="A652" s="80"/>
      <c r="B652" s="80"/>
      <c r="C652" s="15"/>
      <c r="D652" s="15"/>
      <c r="E652" s="15"/>
      <c r="F652" s="15"/>
      <c r="G652" s="76"/>
      <c r="H652" s="15"/>
      <c r="I652" s="15"/>
      <c r="J652" s="15"/>
      <c r="K652" s="76"/>
      <c r="L652" s="15"/>
      <c r="M652" s="91"/>
      <c r="N652" s="76"/>
      <c r="O652" s="15"/>
      <c r="P652" s="15"/>
    </row>
    <row r="653" spans="1:26" s="79" customFormat="1">
      <c r="A653" s="80"/>
      <c r="B653" s="80"/>
      <c r="C653" s="15"/>
      <c r="D653" s="15"/>
      <c r="E653" s="15"/>
      <c r="F653" s="15"/>
      <c r="G653" s="76"/>
      <c r="H653" s="15"/>
      <c r="I653" s="15"/>
      <c r="J653" s="15"/>
      <c r="K653" s="76"/>
      <c r="L653" s="15"/>
      <c r="M653" s="91"/>
      <c r="N653" s="76"/>
      <c r="O653" s="15"/>
      <c r="P653" s="15"/>
    </row>
    <row r="654" spans="1:26" s="79" customFormat="1">
      <c r="A654" s="80"/>
      <c r="B654" s="80"/>
      <c r="C654" s="15"/>
      <c r="D654" s="15"/>
      <c r="E654" s="15"/>
      <c r="F654" s="15"/>
      <c r="G654" s="76"/>
      <c r="H654" s="15"/>
      <c r="I654" s="15"/>
      <c r="J654" s="15"/>
      <c r="K654" s="76"/>
      <c r="L654" s="15"/>
      <c r="M654" s="91"/>
      <c r="N654" s="76"/>
      <c r="O654" s="15"/>
      <c r="P654" s="15"/>
    </row>
    <row r="655" spans="1:26" s="79" customFormat="1">
      <c r="C655" s="15"/>
      <c r="D655" s="15"/>
      <c r="E655" s="15"/>
      <c r="F655" s="15"/>
      <c r="G655" s="76"/>
      <c r="H655" s="15"/>
      <c r="I655" s="15"/>
      <c r="J655" s="15"/>
      <c r="K655" s="76"/>
      <c r="L655" s="15"/>
      <c r="M655" s="15"/>
      <c r="N655" s="76"/>
      <c r="O655" s="15"/>
    </row>
    <row r="656" spans="1:26" s="9" customFormat="1">
      <c r="G656" s="97"/>
      <c r="K656" s="97"/>
      <c r="N656" s="97"/>
    </row>
    <row r="657" spans="7:31" s="9" customFormat="1">
      <c r="G657" s="97"/>
      <c r="K657" s="97"/>
      <c r="N657" s="97"/>
    </row>
    <row r="658" spans="7:31" s="9" customFormat="1">
      <c r="G658" s="97"/>
      <c r="K658" s="97"/>
      <c r="N658" s="97"/>
    </row>
    <row r="659" spans="7:31" s="9" customFormat="1">
      <c r="G659" s="97"/>
      <c r="K659" s="97"/>
      <c r="N659" s="97"/>
    </row>
    <row r="660" spans="7:31" s="9" customFormat="1">
      <c r="G660" s="97"/>
      <c r="K660" s="97"/>
      <c r="N660" s="97"/>
    </row>
    <row r="661" spans="7:31" s="9" customFormat="1">
      <c r="G661" s="97"/>
      <c r="K661" s="97"/>
      <c r="N661" s="97"/>
    </row>
    <row r="662" spans="7:31" s="9" customFormat="1">
      <c r="G662" s="97"/>
      <c r="H662" s="97"/>
      <c r="K662" s="97"/>
      <c r="N662" s="97"/>
    </row>
    <row r="663" spans="7:31" s="9" customFormat="1">
      <c r="G663" s="97"/>
      <c r="H663" s="97"/>
      <c r="K663" s="97"/>
      <c r="N663" s="97"/>
    </row>
    <row r="664" spans="7:31" s="9" customFormat="1">
      <c r="G664" s="97"/>
      <c r="K664" s="97"/>
      <c r="N664" s="97"/>
    </row>
    <row r="665" spans="7:31" s="9" customFormat="1">
      <c r="G665" s="97"/>
      <c r="H665" s="97"/>
      <c r="K665" s="97"/>
      <c r="N665" s="97"/>
    </row>
    <row r="666" spans="7:31" s="9" customFormat="1">
      <c r="G666" s="97"/>
      <c r="K666" s="97"/>
      <c r="N666" s="97"/>
    </row>
    <row r="667" spans="7:31" s="9" customFormat="1">
      <c r="G667" s="97"/>
      <c r="H667" s="97"/>
      <c r="K667" s="97"/>
      <c r="N667" s="97"/>
      <c r="AE667" s="116"/>
    </row>
    <row r="668" spans="7:31" s="9" customFormat="1">
      <c r="G668" s="97"/>
      <c r="H668" s="97"/>
      <c r="K668" s="97"/>
      <c r="N668" s="97"/>
    </row>
    <row r="669" spans="7:31" s="9" customFormat="1">
      <c r="G669" s="97"/>
      <c r="K669" s="97"/>
      <c r="N669" s="97"/>
    </row>
    <row r="670" spans="7:31" s="9" customFormat="1">
      <c r="G670" s="97"/>
      <c r="K670" s="97"/>
      <c r="N670" s="97"/>
    </row>
    <row r="671" spans="7:31" s="9" customFormat="1">
      <c r="G671" s="97"/>
      <c r="K671" s="97"/>
      <c r="N671" s="97"/>
    </row>
    <row r="672" spans="7:31" s="9" customFormat="1">
      <c r="G672" s="97"/>
      <c r="K672" s="97"/>
      <c r="N672" s="97"/>
    </row>
    <row r="673" spans="7:31" s="9" customFormat="1">
      <c r="G673" s="97"/>
      <c r="K673" s="97"/>
      <c r="N673" s="97"/>
    </row>
    <row r="674" spans="7:31" s="9" customFormat="1">
      <c r="G674" s="97"/>
      <c r="K674" s="97"/>
      <c r="N674" s="97"/>
    </row>
    <row r="675" spans="7:31" s="9" customFormat="1">
      <c r="G675" s="97"/>
      <c r="K675" s="97"/>
      <c r="N675" s="97"/>
    </row>
    <row r="676" spans="7:31" s="9" customFormat="1">
      <c r="G676" s="97"/>
      <c r="K676" s="97"/>
      <c r="N676" s="97"/>
    </row>
    <row r="677" spans="7:31" s="9" customFormat="1">
      <c r="G677" s="97"/>
      <c r="K677" s="97"/>
      <c r="N677" s="97"/>
      <c r="Y677" s="116"/>
    </row>
    <row r="678" spans="7:31" s="9" customFormat="1">
      <c r="G678" s="97"/>
      <c r="K678" s="97"/>
      <c r="N678" s="97"/>
    </row>
    <row r="679" spans="7:31" s="9" customFormat="1" ht="12.75">
      <c r="G679" s="97"/>
      <c r="K679" s="97"/>
      <c r="N679" s="97"/>
      <c r="AE679" s="144"/>
    </row>
    <row r="680" spans="7:31" s="9" customFormat="1">
      <c r="G680" s="97"/>
      <c r="K680" s="97"/>
      <c r="N680" s="97"/>
    </row>
    <row r="681" spans="7:31" s="9" customFormat="1">
      <c r="G681" s="97"/>
      <c r="K681" s="97"/>
      <c r="N681" s="97"/>
    </row>
    <row r="682" spans="7:31" s="9" customFormat="1">
      <c r="G682" s="97"/>
      <c r="K682" s="97"/>
      <c r="N682" s="97"/>
    </row>
    <row r="683" spans="7:31" s="9" customFormat="1">
      <c r="G683" s="97"/>
      <c r="K683" s="97"/>
      <c r="N683" s="97"/>
    </row>
    <row r="684" spans="7:31" s="9" customFormat="1">
      <c r="G684" s="97"/>
      <c r="K684" s="97"/>
      <c r="N684" s="97"/>
    </row>
    <row r="685" spans="7:31" s="9" customFormat="1">
      <c r="G685" s="97"/>
      <c r="K685" s="97"/>
      <c r="N685" s="97"/>
    </row>
    <row r="686" spans="7:31" s="9" customFormat="1">
      <c r="G686" s="97"/>
      <c r="K686" s="97"/>
      <c r="N686" s="97"/>
    </row>
    <row r="687" spans="7:31" s="9" customFormat="1">
      <c r="G687" s="97"/>
      <c r="K687" s="97"/>
      <c r="N687" s="97"/>
    </row>
    <row r="688" spans="7:31" s="9" customFormat="1">
      <c r="G688" s="97"/>
      <c r="K688" s="97"/>
      <c r="N688" s="97"/>
    </row>
    <row r="689" spans="3:20" s="9" customFormat="1">
      <c r="G689" s="97"/>
      <c r="K689" s="97"/>
      <c r="N689" s="97"/>
    </row>
    <row r="690" spans="3:20" s="9" customFormat="1" ht="12.75" customHeight="1">
      <c r="C690" s="96"/>
      <c r="D690" s="96"/>
      <c r="E690" s="96"/>
      <c r="F690" s="96"/>
      <c r="G690" s="97"/>
      <c r="H690" s="97"/>
      <c r="K690" s="97"/>
      <c r="N690" s="97"/>
    </row>
    <row r="691" spans="3:20" s="14" customFormat="1" ht="23.25">
      <c r="C691" s="691" t="s">
        <v>75</v>
      </c>
      <c r="D691" s="691"/>
      <c r="E691" s="691"/>
      <c r="F691" s="691"/>
      <c r="G691" s="691"/>
      <c r="H691" s="691"/>
      <c r="I691" s="691"/>
      <c r="J691" s="691"/>
      <c r="K691" s="692"/>
      <c r="L691" s="692"/>
      <c r="N691" s="13"/>
    </row>
    <row r="692" spans="3:20" s="14" customFormat="1" ht="30" customHeight="1">
      <c r="C692" s="54"/>
      <c r="D692" s="54"/>
      <c r="E692" s="54"/>
      <c r="F692" s="54"/>
      <c r="G692" s="173"/>
      <c r="H692" s="54"/>
      <c r="I692" s="54"/>
      <c r="J692" s="54"/>
      <c r="K692" s="184"/>
      <c r="L692" s="30"/>
      <c r="N692" s="13"/>
    </row>
    <row r="693" spans="3:20" s="14" customFormat="1" ht="12.75" customHeight="1">
      <c r="C693" s="27"/>
      <c r="D693" s="27"/>
      <c r="E693" s="15" t="s">
        <v>385</v>
      </c>
      <c r="F693" s="27"/>
      <c r="G693" s="13"/>
      <c r="H693" s="13"/>
      <c r="K693" s="13"/>
      <c r="N693" s="13"/>
    </row>
    <row r="694" spans="3:20" s="14" customFormat="1">
      <c r="C694" s="145"/>
      <c r="D694" s="145"/>
      <c r="E694" s="145"/>
      <c r="F694" s="145"/>
      <c r="G694" s="174"/>
      <c r="I694" s="145"/>
      <c r="K694" s="13"/>
      <c r="N694" s="13"/>
    </row>
    <row r="695" spans="3:20" s="14" customFormat="1">
      <c r="C695" s="284" t="s">
        <v>163</v>
      </c>
      <c r="G695" s="76" t="s">
        <v>358</v>
      </c>
      <c r="I695" s="629" t="s">
        <v>65</v>
      </c>
      <c r="J695" s="629"/>
      <c r="K695" s="629"/>
      <c r="M695" s="610" t="s">
        <v>393</v>
      </c>
      <c r="N695" s="610"/>
      <c r="P695" s="15" t="s">
        <v>115</v>
      </c>
    </row>
    <row r="696" spans="3:20" s="457" customFormat="1" ht="36">
      <c r="C696" s="432" t="s">
        <v>111</v>
      </c>
      <c r="D696" s="432" t="s">
        <v>421</v>
      </c>
      <c r="E696" s="458" t="s">
        <v>422</v>
      </c>
      <c r="F696" s="317" t="s">
        <v>423</v>
      </c>
      <c r="G696" s="459" t="s">
        <v>265</v>
      </c>
      <c r="I696" s="432" t="s">
        <v>329</v>
      </c>
      <c r="J696" s="432" t="s">
        <v>330</v>
      </c>
      <c r="K696" s="459" t="s">
        <v>265</v>
      </c>
      <c r="M696" s="432" t="s">
        <v>331</v>
      </c>
      <c r="N696" s="459" t="s">
        <v>265</v>
      </c>
      <c r="P696" s="664" t="s">
        <v>167</v>
      </c>
      <c r="Q696" s="664"/>
      <c r="R696" s="664"/>
      <c r="S696" s="664"/>
      <c r="T696" s="664"/>
    </row>
    <row r="697" spans="3:20" s="14" customFormat="1">
      <c r="C697" s="17" t="s">
        <v>234</v>
      </c>
      <c r="D697" s="287"/>
      <c r="E697" s="401">
        <f>_xlfn.IFNA(VLOOKUP($C697,'Facteurs d''émission'!$D$2:$I$344,2,FALSE),"Non renseigné")</f>
        <v>155</v>
      </c>
      <c r="F697" s="463">
        <v>10</v>
      </c>
      <c r="G697" s="403">
        <f>IF(AND(F697=0,D697=0),"0",IF(AND(F697=0,D697&gt;0),"Rentrer la durée d'amortissement !",D697*E697/F697))</f>
        <v>0</v>
      </c>
      <c r="H697" s="404"/>
      <c r="I697" s="400">
        <f>_xlfn.IFNA(VLOOKUP($C697,'Facteurs d''émission'!$D$2:$I$344,4,FALSE),"Non présent dans la base")</f>
        <v>0.2</v>
      </c>
      <c r="J697" s="405"/>
      <c r="K697" s="433">
        <f t="shared" ref="K697:K702" si="160">G697*(1-(1-I697)*(1-J697))</f>
        <v>0</v>
      </c>
      <c r="L697" s="404" t="str">
        <f t="shared" ref="L697:L702" si="161">IF(D697*COUNTA(J697)&gt;0,"ok","")</f>
        <v/>
      </c>
      <c r="M697" s="405"/>
      <c r="N697" s="433">
        <f t="shared" ref="N697:N702" si="162">M697*G697</f>
        <v>0</v>
      </c>
      <c r="P697" s="672"/>
      <c r="Q697" s="673"/>
      <c r="R697" s="673"/>
      <c r="S697" s="673"/>
      <c r="T697" s="674"/>
    </row>
    <row r="698" spans="3:20" s="14" customFormat="1">
      <c r="C698" s="53" t="s">
        <v>235</v>
      </c>
      <c r="D698" s="287"/>
      <c r="E698" s="401">
        <f>_xlfn.IFNA(VLOOKUP($C698,'Facteurs d''émission'!$D$2:$I$344,2,FALSE),"Non renseigné")</f>
        <v>656</v>
      </c>
      <c r="F698" s="462">
        <v>10</v>
      </c>
      <c r="G698" s="403">
        <f t="shared" ref="G698:G702" si="163">IF(AND(F698=0,D698=0),"0",IF(AND(F698=0,D698&gt;0),"Rentrer la durée d'amortissement !",D698*E698/F698))</f>
        <v>0</v>
      </c>
      <c r="H698" s="404"/>
      <c r="I698" s="400">
        <f>_xlfn.IFNA(VLOOKUP($C698,'Facteurs d''émission'!$D$2:$I$344,4,FALSE),"Non présent dans la base")</f>
        <v>0.5</v>
      </c>
      <c r="J698" s="405"/>
      <c r="K698" s="433">
        <f t="shared" si="160"/>
        <v>0</v>
      </c>
      <c r="L698" s="404" t="str">
        <f t="shared" si="161"/>
        <v/>
      </c>
      <c r="M698" s="405"/>
      <c r="N698" s="433">
        <f t="shared" si="162"/>
        <v>0</v>
      </c>
      <c r="P698" s="672"/>
      <c r="Q698" s="673"/>
      <c r="R698" s="673"/>
      <c r="S698" s="673"/>
      <c r="T698" s="674"/>
    </row>
    <row r="699" spans="3:20" s="14" customFormat="1" ht="12.75" customHeight="1">
      <c r="C699" s="53" t="s">
        <v>112</v>
      </c>
      <c r="D699" s="287"/>
      <c r="E699" s="401">
        <f>_xlfn.IFNA(VLOOKUP($C699,'Facteurs d''émission'!$D$2:$I$344,2,FALSE),"Non renseigné")</f>
        <v>220</v>
      </c>
      <c r="F699" s="462">
        <v>5</v>
      </c>
      <c r="G699" s="403">
        <f t="shared" si="163"/>
        <v>0</v>
      </c>
      <c r="H699" s="404"/>
      <c r="I699" s="400">
        <f>_xlfn.IFNA(VLOOKUP($C699,'Facteurs d''émission'!$D$2:$I$344,4,FALSE),"Non présent dans la base")</f>
        <v>0.5</v>
      </c>
      <c r="J699" s="405"/>
      <c r="K699" s="433">
        <f t="shared" si="160"/>
        <v>0</v>
      </c>
      <c r="L699" s="404" t="str">
        <f t="shared" si="161"/>
        <v/>
      </c>
      <c r="M699" s="405"/>
      <c r="N699" s="433">
        <f t="shared" si="162"/>
        <v>0</v>
      </c>
      <c r="P699" s="672"/>
      <c r="Q699" s="673"/>
      <c r="R699" s="673"/>
      <c r="S699" s="673"/>
      <c r="T699" s="674"/>
    </row>
    <row r="700" spans="3:20" s="14" customFormat="1">
      <c r="C700" s="53" t="s">
        <v>238</v>
      </c>
      <c r="D700" s="287"/>
      <c r="E700" s="401">
        <f>_xlfn.IFNA(VLOOKUP($C700,'Facteurs d''émission'!$D$2:$I$344,2,FALSE),"Non renseigné")</f>
        <v>650</v>
      </c>
      <c r="F700" s="462">
        <v>15</v>
      </c>
      <c r="G700" s="403">
        <f>IF(AND(F700=0,D700=0),"0",IF(AND(F700=0,D700&gt;0),"Rentrer la durée d'amortissement !",D700*E700/F700))</f>
        <v>0</v>
      </c>
      <c r="H700" s="404"/>
      <c r="I700" s="400">
        <f>_xlfn.IFNA(VLOOKUP($C700,'Facteurs d''émission'!$D$2:$I$344,4,FALSE),"Non présent dans la base")</f>
        <v>0.5</v>
      </c>
      <c r="J700" s="405">
        <v>0.01</v>
      </c>
      <c r="K700" s="433">
        <f t="shared" si="160"/>
        <v>0</v>
      </c>
      <c r="L700" s="404" t="str">
        <f t="shared" si="161"/>
        <v/>
      </c>
      <c r="M700" s="405">
        <v>0.5</v>
      </c>
      <c r="N700" s="433">
        <f t="shared" si="162"/>
        <v>0</v>
      </c>
      <c r="P700" s="672"/>
      <c r="Q700" s="673"/>
      <c r="R700" s="673"/>
      <c r="S700" s="673"/>
      <c r="T700" s="674"/>
    </row>
    <row r="701" spans="3:20" s="14" customFormat="1" ht="12.75" customHeight="1">
      <c r="C701" s="53" t="s">
        <v>239</v>
      </c>
      <c r="D701" s="287"/>
      <c r="E701" s="401">
        <f>_xlfn.IFNA(VLOOKUP($C701,'Facteurs d''émission'!$D$2:$I$344,2,FALSE),"Non renseigné")</f>
        <v>440</v>
      </c>
      <c r="F701" s="462">
        <v>15</v>
      </c>
      <c r="G701" s="403">
        <f>IF(AND(F701=0,D701=0),"0",IF(AND(F701=0,D701&gt;0),"Rentrer la durée d'amortissement !",D701*E701/F701))</f>
        <v>0</v>
      </c>
      <c r="H701" s="404"/>
      <c r="I701" s="400">
        <f>_xlfn.IFNA(VLOOKUP($C701,'Facteurs d''émission'!$D$2:$I$344,4,FALSE),"Non présent dans la base")</f>
        <v>0.5</v>
      </c>
      <c r="J701" s="405">
        <v>0.01</v>
      </c>
      <c r="K701" s="433">
        <f t="shared" si="160"/>
        <v>0</v>
      </c>
      <c r="L701" s="404" t="str">
        <f t="shared" si="161"/>
        <v/>
      </c>
      <c r="M701" s="405"/>
      <c r="N701" s="433">
        <f t="shared" si="162"/>
        <v>0</v>
      </c>
      <c r="P701" s="672"/>
      <c r="Q701" s="673"/>
      <c r="R701" s="673"/>
      <c r="S701" s="673"/>
      <c r="T701" s="674"/>
    </row>
    <row r="702" spans="3:20" s="14" customFormat="1">
      <c r="C702" s="17" t="s">
        <v>241</v>
      </c>
      <c r="D702" s="287"/>
      <c r="E702" s="401">
        <f>_xlfn.IFNA(VLOOKUP($C702,'Facteurs d''émission'!$D$2:$I$344,2,FALSE),"Non renseigné")</f>
        <v>319</v>
      </c>
      <c r="F702" s="462">
        <v>15</v>
      </c>
      <c r="G702" s="403">
        <f t="shared" si="163"/>
        <v>0</v>
      </c>
      <c r="H702" s="404"/>
      <c r="I702" s="400">
        <f>_xlfn.IFNA(VLOOKUP($C702,'Facteurs d''émission'!$D$2:$I$344,4,FALSE),"Non présent dans la base")</f>
        <v>0.15</v>
      </c>
      <c r="J702" s="405">
        <v>0.01</v>
      </c>
      <c r="K702" s="433">
        <f t="shared" si="160"/>
        <v>0</v>
      </c>
      <c r="L702" s="404" t="str">
        <f t="shared" si="161"/>
        <v/>
      </c>
      <c r="M702" s="405"/>
      <c r="N702" s="433">
        <f t="shared" si="162"/>
        <v>0</v>
      </c>
      <c r="P702" s="672"/>
      <c r="Q702" s="673"/>
      <c r="R702" s="673"/>
      <c r="S702" s="673"/>
      <c r="T702" s="674"/>
    </row>
    <row r="703" spans="3:20" s="14" customFormat="1">
      <c r="C703" s="17" t="s">
        <v>242</v>
      </c>
      <c r="D703" s="287"/>
      <c r="E703" s="401">
        <f>_xlfn.IFNA(VLOOKUP($C703,'Facteurs d''émission'!$D$2:$I$344,2,FALSE),"Non renseigné")</f>
        <v>73</v>
      </c>
      <c r="F703" s="462">
        <v>15</v>
      </c>
      <c r="G703" s="403">
        <f t="shared" ref="G703:G709" si="164">IF(AND(F703=0,D703=0),"0",IF(AND(F703=0,D703&gt;0),"Rentrer la durée d'amortissement !",D703*E703/F703))</f>
        <v>0</v>
      </c>
      <c r="H703" s="404"/>
      <c r="I703" s="400">
        <f>_xlfn.IFNA(VLOOKUP($C703,'Facteurs d''émission'!$D$2:$I$344,4,FALSE),"Non présent dans la base")</f>
        <v>0.15</v>
      </c>
      <c r="J703" s="405"/>
      <c r="K703" s="433">
        <f t="shared" ref="K703:K709" si="165">G703*(1-(1-I703)*(1-J703))</f>
        <v>0</v>
      </c>
      <c r="L703" s="404" t="str">
        <f t="shared" ref="L703:L709" si="166">IF(D703*COUNTA(J703)&gt;0,"ok","")</f>
        <v/>
      </c>
      <c r="M703" s="405"/>
      <c r="N703" s="433">
        <f t="shared" ref="N703:N709" si="167">M703*G703</f>
        <v>0</v>
      </c>
      <c r="P703" s="672"/>
      <c r="Q703" s="673"/>
      <c r="R703" s="673"/>
      <c r="S703" s="673"/>
      <c r="T703" s="674"/>
    </row>
    <row r="704" spans="3:20" s="14" customFormat="1">
      <c r="C704" s="17" t="s">
        <v>243</v>
      </c>
      <c r="D704" s="287"/>
      <c r="E704" s="401">
        <f>_xlfn.IFNA(VLOOKUP($C704,'Facteurs d''émission'!$D$2:$I$344,2,FALSE),"Non renseigné")</f>
        <v>165</v>
      </c>
      <c r="F704" s="462">
        <v>15</v>
      </c>
      <c r="G704" s="403">
        <f t="shared" si="164"/>
        <v>0</v>
      </c>
      <c r="H704" s="404"/>
      <c r="I704" s="400">
        <f>_xlfn.IFNA(VLOOKUP($C704,'Facteurs d''émission'!$D$2:$I$344,4,FALSE),"Non présent dans la base")</f>
        <v>0.15</v>
      </c>
      <c r="J704" s="405"/>
      <c r="K704" s="433">
        <f t="shared" si="165"/>
        <v>0</v>
      </c>
      <c r="L704" s="404" t="str">
        <f t="shared" si="166"/>
        <v/>
      </c>
      <c r="M704" s="405"/>
      <c r="N704" s="433">
        <f t="shared" si="167"/>
        <v>0</v>
      </c>
      <c r="P704" s="672"/>
      <c r="Q704" s="673"/>
      <c r="R704" s="673"/>
      <c r="S704" s="673"/>
      <c r="T704" s="674"/>
    </row>
    <row r="705" spans="3:22" s="14" customFormat="1">
      <c r="C705" s="17" t="s">
        <v>357</v>
      </c>
      <c r="D705" s="287"/>
      <c r="E705" s="401">
        <f>_xlfn.IFNA(VLOOKUP($C705,'Facteurs d''émission'!$D$2:$I$344,2,FALSE),"Non renseigné")</f>
        <v>0</v>
      </c>
      <c r="F705" s="462"/>
      <c r="G705" s="403" t="str">
        <f t="shared" si="164"/>
        <v>0</v>
      </c>
      <c r="H705" s="404"/>
      <c r="I705" s="400">
        <f>_xlfn.IFNA(VLOOKUP($C705,'Facteurs d''émission'!$D$2:$I$344,4,FALSE),"Non présent dans la base")</f>
        <v>0</v>
      </c>
      <c r="J705" s="405"/>
      <c r="K705" s="433">
        <f t="shared" si="165"/>
        <v>0</v>
      </c>
      <c r="L705" s="404" t="str">
        <f t="shared" si="166"/>
        <v/>
      </c>
      <c r="M705" s="405"/>
      <c r="N705" s="433">
        <f t="shared" si="167"/>
        <v>0</v>
      </c>
      <c r="P705" s="672"/>
      <c r="Q705" s="673"/>
      <c r="R705" s="673"/>
      <c r="S705" s="673"/>
      <c r="T705" s="674"/>
    </row>
    <row r="706" spans="3:22" s="14" customFormat="1">
      <c r="C706" s="17" t="s">
        <v>357</v>
      </c>
      <c r="D706" s="287"/>
      <c r="E706" s="401">
        <f>_xlfn.IFNA(VLOOKUP($C706,'Facteurs d''émission'!$D$2:$I$344,2,FALSE),"Non renseigné")</f>
        <v>0</v>
      </c>
      <c r="F706" s="462"/>
      <c r="G706" s="403" t="str">
        <f t="shared" si="164"/>
        <v>0</v>
      </c>
      <c r="H706" s="404"/>
      <c r="I706" s="400">
        <f>_xlfn.IFNA(VLOOKUP($C706,'Facteurs d''émission'!$D$2:$I$344,4,FALSE),"Non présent dans la base")</f>
        <v>0</v>
      </c>
      <c r="J706" s="405"/>
      <c r="K706" s="433">
        <f t="shared" si="165"/>
        <v>0</v>
      </c>
      <c r="L706" s="404" t="str">
        <f t="shared" si="166"/>
        <v/>
      </c>
      <c r="M706" s="405"/>
      <c r="N706" s="433">
        <f t="shared" si="167"/>
        <v>0</v>
      </c>
      <c r="P706" s="672"/>
      <c r="Q706" s="673"/>
      <c r="R706" s="673"/>
      <c r="S706" s="673"/>
      <c r="T706" s="674"/>
    </row>
    <row r="707" spans="3:22" s="14" customFormat="1">
      <c r="C707" s="17" t="s">
        <v>357</v>
      </c>
      <c r="D707" s="287"/>
      <c r="E707" s="401">
        <f>_xlfn.IFNA(VLOOKUP($C707,'Facteurs d''émission'!$D$2:$I$344,2,FALSE),"Non renseigné")</f>
        <v>0</v>
      </c>
      <c r="F707" s="462"/>
      <c r="G707" s="403" t="str">
        <f t="shared" si="164"/>
        <v>0</v>
      </c>
      <c r="H707" s="404"/>
      <c r="I707" s="400">
        <f>_xlfn.IFNA(VLOOKUP($C707,'Facteurs d''émission'!$D$2:$I$344,4,FALSE),"Non présent dans la base")</f>
        <v>0</v>
      </c>
      <c r="J707" s="405"/>
      <c r="K707" s="433">
        <f t="shared" si="165"/>
        <v>0</v>
      </c>
      <c r="L707" s="404" t="str">
        <f t="shared" si="166"/>
        <v/>
      </c>
      <c r="M707" s="405"/>
      <c r="N707" s="433">
        <f t="shared" si="167"/>
        <v>0</v>
      </c>
      <c r="P707" s="672"/>
      <c r="Q707" s="673"/>
      <c r="R707" s="673"/>
      <c r="S707" s="673"/>
      <c r="T707" s="674"/>
    </row>
    <row r="708" spans="3:22" s="14" customFormat="1" ht="12.75" customHeight="1">
      <c r="C708" s="17" t="s">
        <v>357</v>
      </c>
      <c r="D708" s="287"/>
      <c r="E708" s="401">
        <f>_xlfn.IFNA(VLOOKUP($C708,'Facteurs d''émission'!$D$2:$I$344,2,FALSE),"Non renseigné")</f>
        <v>0</v>
      </c>
      <c r="F708" s="462"/>
      <c r="G708" s="403" t="str">
        <f t="shared" si="164"/>
        <v>0</v>
      </c>
      <c r="H708" s="404"/>
      <c r="I708" s="400">
        <f>_xlfn.IFNA(VLOOKUP($C708,'Facteurs d''émission'!$D$2:$I$344,4,FALSE),"Non présent dans la base")</f>
        <v>0</v>
      </c>
      <c r="J708" s="405"/>
      <c r="K708" s="433">
        <f t="shared" si="165"/>
        <v>0</v>
      </c>
      <c r="L708" s="404" t="str">
        <f t="shared" si="166"/>
        <v/>
      </c>
      <c r="M708" s="405"/>
      <c r="N708" s="433">
        <f t="shared" si="167"/>
        <v>0</v>
      </c>
      <c r="P708" s="672"/>
      <c r="Q708" s="673"/>
      <c r="R708" s="673"/>
      <c r="S708" s="673"/>
      <c r="T708" s="674"/>
    </row>
    <row r="709" spans="3:22" s="14" customFormat="1">
      <c r="C709" s="17" t="s">
        <v>357</v>
      </c>
      <c r="D709" s="287"/>
      <c r="E709" s="401">
        <f>_xlfn.IFNA(VLOOKUP($C709,'Facteurs d''émission'!$D$2:$I$344,2,FALSE),"Non renseigné")</f>
        <v>0</v>
      </c>
      <c r="F709" s="462"/>
      <c r="G709" s="403" t="str">
        <f t="shared" si="164"/>
        <v>0</v>
      </c>
      <c r="H709" s="404"/>
      <c r="I709" s="400">
        <f>_xlfn.IFNA(VLOOKUP($C709,'Facteurs d''émission'!$D$2:$I$344,4,FALSE),"Non présent dans la base")</f>
        <v>0</v>
      </c>
      <c r="J709" s="405"/>
      <c r="K709" s="433">
        <f t="shared" si="165"/>
        <v>0</v>
      </c>
      <c r="L709" s="404" t="str">
        <f t="shared" si="166"/>
        <v/>
      </c>
      <c r="M709" s="405"/>
      <c r="N709" s="433">
        <f t="shared" si="167"/>
        <v>0</v>
      </c>
      <c r="P709" s="672"/>
      <c r="Q709" s="673"/>
      <c r="R709" s="673"/>
      <c r="S709" s="673"/>
      <c r="T709" s="674"/>
    </row>
    <row r="710" spans="3:22" s="14" customFormat="1">
      <c r="C710" s="65" t="s">
        <v>26</v>
      </c>
      <c r="D710" s="376">
        <f>SUM(D697:D709)</f>
        <v>0</v>
      </c>
      <c r="E710" s="406"/>
      <c r="F710" s="406"/>
      <c r="G710" s="407">
        <f>SUM(G697:G709)</f>
        <v>0</v>
      </c>
      <c r="H710" s="404"/>
      <c r="I710" s="689" t="str">
        <f>IF(COUNTA(D697:D709)&gt;COUNTIF(L697:L709,"ok"),"! Remplir une incertitude !","")</f>
        <v/>
      </c>
      <c r="J710" s="690"/>
      <c r="K710" s="407">
        <f>SUM(K697:K709)</f>
        <v>0</v>
      </c>
      <c r="L710" s="404"/>
      <c r="M710" s="408"/>
      <c r="N710" s="407">
        <f>SUM(N697:N709)</f>
        <v>0</v>
      </c>
      <c r="P710" s="650" t="str">
        <f>IF(N710&gt;0,IF(#REF!="","Attention: vous devez planifier une action afin de remplir votre objectif",""),"")</f>
        <v/>
      </c>
      <c r="Q710" s="650"/>
      <c r="R710" s="650"/>
      <c r="S710" s="650"/>
      <c r="T710" s="650"/>
      <c r="V710" s="13"/>
    </row>
    <row r="711" spans="3:22" s="14" customFormat="1" ht="26.65" customHeight="1">
      <c r="E711" s="404"/>
      <c r="F711" s="404"/>
      <c r="G711" s="409"/>
      <c r="H711" s="404"/>
      <c r="I711" s="404"/>
      <c r="J711" s="404"/>
      <c r="K711" s="409"/>
      <c r="L711" s="404"/>
      <c r="M711" s="404"/>
      <c r="N711" s="409"/>
    </row>
    <row r="712" spans="3:22" s="14" customFormat="1">
      <c r="E712" s="410" t="s">
        <v>386</v>
      </c>
      <c r="F712" s="404"/>
      <c r="G712" s="409"/>
      <c r="H712" s="404"/>
      <c r="I712" s="404"/>
      <c r="J712" s="404"/>
      <c r="K712" s="409"/>
      <c r="L712" s="404"/>
      <c r="M712" s="404"/>
      <c r="N712" s="409"/>
    </row>
    <row r="713" spans="3:22" s="14" customFormat="1">
      <c r="E713" s="404"/>
      <c r="F713" s="404"/>
      <c r="G713" s="409"/>
      <c r="H713" s="404"/>
      <c r="I713" s="404"/>
      <c r="J713" s="404"/>
      <c r="K713" s="409"/>
      <c r="L713" s="404"/>
      <c r="M713" s="404"/>
      <c r="N713" s="409"/>
    </row>
    <row r="714" spans="3:22" s="14" customFormat="1">
      <c r="C714" s="284" t="s">
        <v>164</v>
      </c>
      <c r="E714" s="404"/>
      <c r="F714" s="404"/>
      <c r="G714" s="411" t="s">
        <v>358</v>
      </c>
      <c r="H714" s="404"/>
      <c r="I714" s="665" t="s">
        <v>65</v>
      </c>
      <c r="J714" s="665"/>
      <c r="K714" s="665"/>
      <c r="L714" s="412"/>
      <c r="M714" s="665" t="s">
        <v>393</v>
      </c>
      <c r="N714" s="665"/>
      <c r="P714" s="15" t="s">
        <v>115</v>
      </c>
    </row>
    <row r="715" spans="3:22" s="457" customFormat="1" ht="36">
      <c r="C715" s="432" t="s">
        <v>113</v>
      </c>
      <c r="D715" s="432" t="s">
        <v>419</v>
      </c>
      <c r="E715" s="458" t="s">
        <v>420</v>
      </c>
      <c r="F715" s="317" t="s">
        <v>423</v>
      </c>
      <c r="G715" s="459" t="s">
        <v>265</v>
      </c>
      <c r="H715" s="460"/>
      <c r="I715" s="432" t="s">
        <v>329</v>
      </c>
      <c r="J715" s="432" t="s">
        <v>330</v>
      </c>
      <c r="K715" s="459" t="s">
        <v>265</v>
      </c>
      <c r="L715" s="461"/>
      <c r="M715" s="432" t="s">
        <v>331</v>
      </c>
      <c r="N715" s="459" t="s">
        <v>265</v>
      </c>
      <c r="P715" s="664" t="s">
        <v>167</v>
      </c>
      <c r="Q715" s="664"/>
      <c r="R715" s="664"/>
      <c r="S715" s="664"/>
      <c r="T715" s="664"/>
    </row>
    <row r="716" spans="3:22" s="14" customFormat="1">
      <c r="C716" s="17" t="s">
        <v>244</v>
      </c>
      <c r="D716" s="286"/>
      <c r="E716" s="401">
        <f>_xlfn.IFNA(VLOOKUP($C716,'Facteurs d''émission'!$D$2:$I$344,2,FALSE),"Non renseigné")</f>
        <v>678</v>
      </c>
      <c r="F716" s="462">
        <v>3</v>
      </c>
      <c r="G716" s="403">
        <f>IF(AND(F716=0,D716=0),"0",IF(AND(F716=0,D716&gt;0),"Rentrer la durée d'amortissement !",D716*E716/F716))</f>
        <v>0</v>
      </c>
      <c r="H716" s="404"/>
      <c r="I716" s="400">
        <f>_xlfn.IFNA(VLOOKUP($C716,'Facteurs d''émission'!$D$2:$I$344,4,FALSE),"Non présent dans la base")</f>
        <v>0.5</v>
      </c>
      <c r="J716" s="405">
        <v>0.01</v>
      </c>
      <c r="K716" s="433">
        <f>G716*(1-(1-I716)*(1-J716))</f>
        <v>0</v>
      </c>
      <c r="L716" s="404" t="str">
        <f>IF(D716*COUNTA(J716)&gt;0,"ok","")</f>
        <v/>
      </c>
      <c r="M716" s="405"/>
      <c r="N716" s="433">
        <f>M716*G716</f>
        <v>0</v>
      </c>
      <c r="P716" s="672"/>
      <c r="Q716" s="673"/>
      <c r="R716" s="673"/>
      <c r="S716" s="673"/>
      <c r="T716" s="674"/>
    </row>
    <row r="717" spans="3:22" s="14" customFormat="1">
      <c r="C717" s="17" t="s">
        <v>309</v>
      </c>
      <c r="D717" s="286"/>
      <c r="E717" s="401">
        <f>_xlfn.IFNA(VLOOKUP($C717,'Facteurs d''émission'!$D$2:$I$344,2,FALSE),"Non renseigné")</f>
        <v>1283</v>
      </c>
      <c r="F717" s="462">
        <v>3</v>
      </c>
      <c r="G717" s="403">
        <f>IF(AND(F717=0,D717=0),"0",IF(AND(F717=0,D717&gt;0),"Rentrer la durée d'amortissement !",D717*E717/F717))</f>
        <v>0</v>
      </c>
      <c r="H717" s="404"/>
      <c r="I717" s="400">
        <f>_xlfn.IFNA(VLOOKUP($C717,'Facteurs d''émission'!$D$2:$I$344,4,FALSE),"Non présent dans la base")</f>
        <v>0.5</v>
      </c>
      <c r="J717" s="405">
        <v>0.01</v>
      </c>
      <c r="K717" s="433">
        <f>G717*(1-(1-I717)*(1-J717))</f>
        <v>0</v>
      </c>
      <c r="L717" s="404" t="str">
        <f>IF(D717*COUNTA(J717)&gt;0,"ok","")</f>
        <v/>
      </c>
      <c r="M717" s="405">
        <v>0.5</v>
      </c>
      <c r="N717" s="433">
        <f>M717*G717</f>
        <v>0</v>
      </c>
      <c r="P717" s="672"/>
      <c r="Q717" s="673"/>
      <c r="R717" s="673"/>
      <c r="S717" s="673"/>
      <c r="T717" s="674"/>
    </row>
    <row r="718" spans="3:22" s="14" customFormat="1">
      <c r="C718" s="17" t="s">
        <v>179</v>
      </c>
      <c r="D718" s="286"/>
      <c r="E718" s="401">
        <f>_xlfn.IFNA(VLOOKUP($C718,'Facteurs d''émission'!$D$2:$I$344,2,FALSE),"Non renseigné")</f>
        <v>110</v>
      </c>
      <c r="F718" s="462">
        <v>3</v>
      </c>
      <c r="G718" s="403">
        <f>IF(AND(F718=0,D718=0),"0",IF(AND(F718=0,D718&gt;0),"Rentrer la durée d'amortissement !",D718*E718/F718))</f>
        <v>0</v>
      </c>
      <c r="H718" s="404"/>
      <c r="I718" s="400">
        <f>_xlfn.IFNA(VLOOKUP($C718,'Facteurs d''émission'!$D$2:$I$344,4,FALSE),"Non présent dans la base")</f>
        <v>0.5</v>
      </c>
      <c r="J718" s="405">
        <v>0.01</v>
      </c>
      <c r="K718" s="433">
        <f>G718*(1-(1-I718)*(1-J718))</f>
        <v>0</v>
      </c>
      <c r="L718" s="404" t="str">
        <f>IF(D718*COUNTA(J718)&gt;0,"ok","")</f>
        <v/>
      </c>
      <c r="M718" s="405">
        <v>0.5</v>
      </c>
      <c r="N718" s="433">
        <f>M718*G718</f>
        <v>0</v>
      </c>
      <c r="P718" s="672"/>
      <c r="Q718" s="673"/>
      <c r="R718" s="673"/>
      <c r="S718" s="673"/>
      <c r="T718" s="674"/>
    </row>
    <row r="719" spans="3:22" s="14" customFormat="1">
      <c r="C719" s="17" t="s">
        <v>180</v>
      </c>
      <c r="D719" s="286"/>
      <c r="E719" s="401">
        <f>_xlfn.IFNA(VLOOKUP($C719,'Facteurs d''émission'!$D$2:$I$344,2,FALSE),"Non renseigné")</f>
        <v>2935</v>
      </c>
      <c r="F719" s="462">
        <v>5</v>
      </c>
      <c r="G719" s="403">
        <f>IF(AND(F719=0,D719=0),"0",IF(AND(F719=0,D719&gt;0),"Rentrer la durée d'amortissement !",D719*E719/F719))</f>
        <v>0</v>
      </c>
      <c r="H719" s="413"/>
      <c r="I719" s="400">
        <f>_xlfn.IFNA(VLOOKUP($C719,'Facteurs d''émission'!$D$2:$I$344,4,FALSE),"Non présent dans la base")</f>
        <v>0.5</v>
      </c>
      <c r="J719" s="405">
        <v>0.01</v>
      </c>
      <c r="K719" s="433">
        <f>G719*(1-(1-I719)*(1-J719))</f>
        <v>0</v>
      </c>
      <c r="L719" s="404" t="str">
        <f>IF(D719*COUNTA(J719)&gt;0,"ok","")</f>
        <v/>
      </c>
      <c r="M719" s="405"/>
      <c r="N719" s="433">
        <f>M719*G719</f>
        <v>0</v>
      </c>
      <c r="P719" s="672"/>
      <c r="Q719" s="673"/>
      <c r="R719" s="673"/>
      <c r="S719" s="673"/>
      <c r="T719" s="674"/>
    </row>
    <row r="720" spans="3:22" s="14" customFormat="1">
      <c r="C720" s="17" t="s">
        <v>181</v>
      </c>
      <c r="D720" s="286"/>
      <c r="E720" s="401">
        <f>_xlfn.IFNA(VLOOKUP($C720,'Facteurs d''émission'!$D$2:$I$344,2,FALSE),"Non renseigné")</f>
        <v>1467</v>
      </c>
      <c r="F720" s="462">
        <v>3</v>
      </c>
      <c r="G720" s="403">
        <f t="shared" ref="G720:G726" si="168">IF(AND(F720=0,D720=0),"0",IF(AND(F720=0,D720&gt;0),"Rentrer la durée d'amortissement !",D720*E720/F720))</f>
        <v>0</v>
      </c>
      <c r="H720" s="413"/>
      <c r="I720" s="400">
        <f>_xlfn.IFNA(VLOOKUP($C720,'Facteurs d''émission'!$D$2:$I$344,4,FALSE),"Non présent dans la base")</f>
        <v>0.5</v>
      </c>
      <c r="J720" s="405">
        <v>0.01</v>
      </c>
      <c r="K720" s="433">
        <f t="shared" ref="K720:K726" si="169">G720*(1-(1-I720)*(1-J720))</f>
        <v>0</v>
      </c>
      <c r="L720" s="404" t="str">
        <f t="shared" ref="L720:L726" si="170">IF(D720*COUNTA(J720)&gt;0,"ok","")</f>
        <v/>
      </c>
      <c r="M720" s="405"/>
      <c r="N720" s="433">
        <f t="shared" ref="N720:N726" si="171">M720*G720</f>
        <v>0</v>
      </c>
      <c r="P720" s="672"/>
      <c r="Q720" s="673"/>
      <c r="R720" s="673"/>
      <c r="S720" s="673"/>
      <c r="T720" s="674"/>
    </row>
    <row r="721" spans="3:23" s="14" customFormat="1">
      <c r="C721" s="17" t="s">
        <v>357</v>
      </c>
      <c r="D721" s="286"/>
      <c r="E721" s="401">
        <f>_xlfn.IFNA(VLOOKUP($C721,'Facteurs d''émission'!$D$2:$I$344,2,FALSE),"Non renseigné")</f>
        <v>0</v>
      </c>
      <c r="F721" s="462"/>
      <c r="G721" s="403" t="str">
        <f t="shared" si="168"/>
        <v>0</v>
      </c>
      <c r="H721" s="413"/>
      <c r="I721" s="400">
        <f>_xlfn.IFNA(VLOOKUP($C721,'Facteurs d''émission'!$D$2:$I$344,4,FALSE),"Non présent dans la base")</f>
        <v>0</v>
      </c>
      <c r="J721" s="405"/>
      <c r="K721" s="433">
        <f t="shared" si="169"/>
        <v>0</v>
      </c>
      <c r="L721" s="404" t="str">
        <f t="shared" si="170"/>
        <v/>
      </c>
      <c r="M721" s="405"/>
      <c r="N721" s="433">
        <f t="shared" si="171"/>
        <v>0</v>
      </c>
      <c r="P721" s="672"/>
      <c r="Q721" s="673"/>
      <c r="R721" s="673"/>
      <c r="S721" s="673"/>
      <c r="T721" s="674"/>
    </row>
    <row r="722" spans="3:23" s="14" customFormat="1">
      <c r="C722" s="17" t="s">
        <v>357</v>
      </c>
      <c r="D722" s="286"/>
      <c r="E722" s="401">
        <f>_xlfn.IFNA(VLOOKUP($C722,'Facteurs d''émission'!$D$2:$I$344,2,FALSE),"Non renseigné")</f>
        <v>0</v>
      </c>
      <c r="F722" s="462"/>
      <c r="G722" s="403" t="str">
        <f t="shared" si="168"/>
        <v>0</v>
      </c>
      <c r="H722" s="413"/>
      <c r="I722" s="400">
        <f>_xlfn.IFNA(VLOOKUP($C722,'Facteurs d''émission'!$D$2:$I$344,4,FALSE),"Non présent dans la base")</f>
        <v>0</v>
      </c>
      <c r="J722" s="405"/>
      <c r="K722" s="433">
        <f t="shared" si="169"/>
        <v>0</v>
      </c>
      <c r="L722" s="404" t="str">
        <f t="shared" si="170"/>
        <v/>
      </c>
      <c r="M722" s="405"/>
      <c r="N722" s="433">
        <f t="shared" si="171"/>
        <v>0</v>
      </c>
      <c r="P722" s="672"/>
      <c r="Q722" s="673"/>
      <c r="R722" s="673"/>
      <c r="S722" s="673"/>
      <c r="T722" s="674"/>
    </row>
    <row r="723" spans="3:23" s="14" customFormat="1">
      <c r="C723" s="17" t="s">
        <v>357</v>
      </c>
      <c r="D723" s="286"/>
      <c r="E723" s="401">
        <f>_xlfn.IFNA(VLOOKUP($C723,'Facteurs d''émission'!$D$2:$I$344,2,FALSE),"Non renseigné")</f>
        <v>0</v>
      </c>
      <c r="F723" s="462"/>
      <c r="G723" s="403" t="str">
        <f t="shared" si="168"/>
        <v>0</v>
      </c>
      <c r="H723" s="413"/>
      <c r="I723" s="400">
        <f>_xlfn.IFNA(VLOOKUP($C723,'Facteurs d''émission'!$D$2:$I$344,4,FALSE),"Non présent dans la base")</f>
        <v>0</v>
      </c>
      <c r="J723" s="405"/>
      <c r="K723" s="433">
        <f t="shared" si="169"/>
        <v>0</v>
      </c>
      <c r="L723" s="404" t="str">
        <f t="shared" si="170"/>
        <v/>
      </c>
      <c r="M723" s="405"/>
      <c r="N723" s="433">
        <f t="shared" si="171"/>
        <v>0</v>
      </c>
      <c r="P723" s="672"/>
      <c r="Q723" s="673"/>
      <c r="R723" s="673"/>
      <c r="S723" s="673"/>
      <c r="T723" s="674"/>
    </row>
    <row r="724" spans="3:23" s="14" customFormat="1">
      <c r="C724" s="17" t="s">
        <v>357</v>
      </c>
      <c r="D724" s="286"/>
      <c r="E724" s="401">
        <f>_xlfn.IFNA(VLOOKUP($C724,'Facteurs d''émission'!$D$2:$I$344,2,FALSE),"Non renseigné")</f>
        <v>0</v>
      </c>
      <c r="F724" s="462"/>
      <c r="G724" s="403" t="str">
        <f t="shared" si="168"/>
        <v>0</v>
      </c>
      <c r="H724" s="413"/>
      <c r="I724" s="400">
        <f>_xlfn.IFNA(VLOOKUP($C724,'Facteurs d''émission'!$D$2:$I$344,4,FALSE),"Non présent dans la base")</f>
        <v>0</v>
      </c>
      <c r="J724" s="405"/>
      <c r="K724" s="433">
        <f t="shared" si="169"/>
        <v>0</v>
      </c>
      <c r="L724" s="404" t="str">
        <f t="shared" si="170"/>
        <v/>
      </c>
      <c r="M724" s="405"/>
      <c r="N724" s="433">
        <f t="shared" si="171"/>
        <v>0</v>
      </c>
      <c r="P724" s="672"/>
      <c r="Q724" s="673"/>
      <c r="R724" s="673"/>
      <c r="S724" s="673"/>
      <c r="T724" s="674"/>
    </row>
    <row r="725" spans="3:23" s="14" customFormat="1">
      <c r="C725" s="17" t="s">
        <v>357</v>
      </c>
      <c r="D725" s="286"/>
      <c r="E725" s="401">
        <f>_xlfn.IFNA(VLOOKUP($C725,'Facteurs d''émission'!$D$2:$I$344,2,FALSE),"Non renseigné")</f>
        <v>0</v>
      </c>
      <c r="F725" s="462"/>
      <c r="G725" s="403" t="str">
        <f t="shared" si="168"/>
        <v>0</v>
      </c>
      <c r="H725" s="413"/>
      <c r="I725" s="400">
        <f>_xlfn.IFNA(VLOOKUP($C725,'Facteurs d''émission'!$D$2:$I$344,4,FALSE),"Non présent dans la base")</f>
        <v>0</v>
      </c>
      <c r="J725" s="405"/>
      <c r="K725" s="433">
        <f t="shared" si="169"/>
        <v>0</v>
      </c>
      <c r="L725" s="404" t="str">
        <f t="shared" si="170"/>
        <v/>
      </c>
      <c r="M725" s="405"/>
      <c r="N725" s="433">
        <f t="shared" si="171"/>
        <v>0</v>
      </c>
      <c r="P725" s="672"/>
      <c r="Q725" s="673"/>
      <c r="R725" s="673"/>
      <c r="S725" s="673"/>
      <c r="T725" s="674"/>
    </row>
    <row r="726" spans="3:23" s="14" customFormat="1">
      <c r="C726" s="17" t="s">
        <v>357</v>
      </c>
      <c r="D726" s="286"/>
      <c r="E726" s="401">
        <f>_xlfn.IFNA(VLOOKUP($C726,'Facteurs d''émission'!$D$2:$I$344,2,FALSE),"Non renseigné")</f>
        <v>0</v>
      </c>
      <c r="F726" s="462"/>
      <c r="G726" s="403" t="str">
        <f t="shared" si="168"/>
        <v>0</v>
      </c>
      <c r="H726" s="404"/>
      <c r="I726" s="400">
        <f>_xlfn.IFNA(VLOOKUP($C726,'Facteurs d''émission'!$D$2:$I$344,4,FALSE),"Non présent dans la base")</f>
        <v>0</v>
      </c>
      <c r="J726" s="405"/>
      <c r="K726" s="433">
        <f t="shared" si="169"/>
        <v>0</v>
      </c>
      <c r="L726" s="404" t="str">
        <f t="shared" si="170"/>
        <v/>
      </c>
      <c r="M726" s="405"/>
      <c r="N726" s="433">
        <f t="shared" si="171"/>
        <v>0</v>
      </c>
      <c r="P726" s="672"/>
      <c r="Q726" s="673"/>
      <c r="R726" s="673"/>
      <c r="S726" s="673"/>
      <c r="T726" s="674"/>
    </row>
    <row r="727" spans="3:23" s="14" customFormat="1">
      <c r="C727" s="65" t="s">
        <v>26</v>
      </c>
      <c r="D727" s="66"/>
      <c r="E727" s="406"/>
      <c r="F727" s="414"/>
      <c r="G727" s="407">
        <f>SUM(G716:G726)</f>
        <v>0</v>
      </c>
      <c r="H727" s="404"/>
      <c r="I727" s="689" t="str">
        <f>IF(COUNTA(D716:D726)&gt;COUNTIF(L716:L726,"ok"),"! Remplir une incertitude !","")</f>
        <v/>
      </c>
      <c r="J727" s="690"/>
      <c r="K727" s="407">
        <f>SUM(K716:K726)</f>
        <v>0</v>
      </c>
      <c r="L727" s="412"/>
      <c r="M727" s="408"/>
      <c r="N727" s="407">
        <f>SUM(N716:N726)</f>
        <v>0</v>
      </c>
      <c r="P727" s="650" t="str">
        <f>IF(N727&gt;0,IF(#REF!="","Attention: vous devez planifier une action afin de remplir votre objectif",""),"")</f>
        <v/>
      </c>
      <c r="Q727" s="650"/>
      <c r="R727" s="650"/>
      <c r="S727" s="650"/>
      <c r="T727" s="650"/>
    </row>
    <row r="728" spans="3:23" s="14" customFormat="1" ht="25.15" customHeight="1">
      <c r="E728" s="404"/>
      <c r="F728" s="404"/>
      <c r="G728" s="409"/>
      <c r="H728" s="404"/>
      <c r="I728" s="404"/>
      <c r="J728" s="404"/>
      <c r="K728" s="409"/>
      <c r="L728" s="404"/>
      <c r="M728" s="404"/>
      <c r="N728" s="409"/>
    </row>
    <row r="729" spans="3:23" s="9" customFormat="1" ht="12.75">
      <c r="E729" s="410" t="s">
        <v>418</v>
      </c>
      <c r="F729" s="415"/>
      <c r="G729" s="416"/>
      <c r="H729" s="417"/>
      <c r="I729" s="415"/>
      <c r="J729" s="415"/>
      <c r="K729" s="416"/>
      <c r="L729" s="415"/>
      <c r="M729" s="415"/>
      <c r="N729" s="416"/>
      <c r="W729" s="144"/>
    </row>
    <row r="730" spans="3:23" s="14" customFormat="1">
      <c r="E730" s="404"/>
      <c r="F730" s="404"/>
      <c r="G730" s="409"/>
      <c r="H730" s="404"/>
      <c r="I730" s="404"/>
      <c r="J730" s="412"/>
      <c r="K730" s="409"/>
      <c r="L730" s="404"/>
      <c r="M730" s="404"/>
      <c r="N730" s="409"/>
    </row>
    <row r="731" spans="3:23" s="14" customFormat="1">
      <c r="C731" s="284" t="s">
        <v>165</v>
      </c>
      <c r="E731" s="404"/>
      <c r="F731" s="404"/>
      <c r="G731" s="411" t="s">
        <v>358</v>
      </c>
      <c r="H731" s="404"/>
      <c r="I731" s="665" t="s">
        <v>65</v>
      </c>
      <c r="J731" s="665"/>
      <c r="K731" s="665"/>
      <c r="L731" s="412"/>
      <c r="M731" s="665" t="s">
        <v>393</v>
      </c>
      <c r="N731" s="665"/>
      <c r="P731" s="15" t="s">
        <v>115</v>
      </c>
    </row>
    <row r="732" spans="3:23" s="457" customFormat="1" ht="36">
      <c r="C732" s="432" t="s">
        <v>113</v>
      </c>
      <c r="D732" s="432" t="s">
        <v>419</v>
      </c>
      <c r="E732" s="458" t="s">
        <v>420</v>
      </c>
      <c r="F732" s="317" t="s">
        <v>423</v>
      </c>
      <c r="G732" s="459" t="s">
        <v>265</v>
      </c>
      <c r="H732" s="460"/>
      <c r="I732" s="432" t="s">
        <v>329</v>
      </c>
      <c r="J732" s="432" t="s">
        <v>330</v>
      </c>
      <c r="K732" s="459" t="s">
        <v>265</v>
      </c>
      <c r="L732" s="461"/>
      <c r="M732" s="432" t="s">
        <v>331</v>
      </c>
      <c r="N732" s="459" t="s">
        <v>265</v>
      </c>
      <c r="P732" s="664" t="s">
        <v>167</v>
      </c>
      <c r="Q732" s="664"/>
      <c r="R732" s="664"/>
      <c r="S732" s="664"/>
      <c r="T732" s="664"/>
    </row>
    <row r="733" spans="3:23" s="14" customFormat="1">
      <c r="C733" s="53" t="s">
        <v>357</v>
      </c>
      <c r="D733" s="286"/>
      <c r="E733" s="401">
        <f>_xlfn.IFNA(VLOOKUP($C733,'Facteurs d''émission'!$D$2:$I$344,2,FALSE),"Non renseigné")</f>
        <v>0</v>
      </c>
      <c r="F733" s="462"/>
      <c r="G733" s="403" t="str">
        <f>IF(AND(F733=0,D733=0),"0",IF(AND(F733=0,D733&gt;0),"Rentrer la durée d'amortissement !",D733*E733/F733))</f>
        <v>0</v>
      </c>
      <c r="H733" s="404"/>
      <c r="I733" s="400">
        <f>_xlfn.IFNA(VLOOKUP($C733,'Facteurs d''émission'!$D$2:$I$344,4,FALSE),"Non présent dans la base")</f>
        <v>0</v>
      </c>
      <c r="J733" s="405"/>
      <c r="K733" s="433">
        <f>G733*(1-(1-I733)*(1-J733))</f>
        <v>0</v>
      </c>
      <c r="L733" s="404" t="str">
        <f>IF(D733*E733*I733*COUNTA(J733)&gt;0,"ok","")</f>
        <v/>
      </c>
      <c r="M733" s="405"/>
      <c r="N733" s="433">
        <f>M733*G733</f>
        <v>0</v>
      </c>
      <c r="P733" s="672"/>
      <c r="Q733" s="673"/>
      <c r="R733" s="673"/>
      <c r="S733" s="673"/>
      <c r="T733" s="674"/>
    </row>
    <row r="734" spans="3:23" s="14" customFormat="1">
      <c r="C734" s="53" t="s">
        <v>357</v>
      </c>
      <c r="D734" s="287"/>
      <c r="E734" s="401">
        <f>_xlfn.IFNA(VLOOKUP($C734,'Facteurs d''émission'!$D$2:$I$344,2,FALSE),"Non renseigné")</f>
        <v>0</v>
      </c>
      <c r="F734" s="462"/>
      <c r="G734" s="403" t="str">
        <f t="shared" ref="G734:G739" si="172">IF(AND(F734=0,D734=0),"0",IF(AND(F734=0,D734&gt;0),"Rentrer la durée d'amortissement !",D734*E734/F734))</f>
        <v>0</v>
      </c>
      <c r="H734" s="404"/>
      <c r="I734" s="400">
        <f>_xlfn.IFNA(VLOOKUP($C734,'Facteurs d''émission'!$D$2:$I$344,4,FALSE),"Non présent dans la base")</f>
        <v>0</v>
      </c>
      <c r="J734" s="405"/>
      <c r="K734" s="433">
        <f t="shared" ref="K734:K739" si="173">G734*(1-(1-I734)*(1-J734))</f>
        <v>0</v>
      </c>
      <c r="L734" s="404"/>
      <c r="M734" s="405"/>
      <c r="N734" s="433">
        <f t="shared" ref="N734:N739" si="174">M734*G734</f>
        <v>0</v>
      </c>
      <c r="P734" s="672"/>
      <c r="Q734" s="673"/>
      <c r="R734" s="673"/>
      <c r="S734" s="673"/>
      <c r="T734" s="674"/>
    </row>
    <row r="735" spans="3:23" s="14" customFormat="1">
      <c r="C735" s="53" t="s">
        <v>357</v>
      </c>
      <c r="D735" s="287"/>
      <c r="E735" s="401">
        <f>_xlfn.IFNA(VLOOKUP($C735,'Facteurs d''émission'!$D$2:$I$344,2,FALSE),"Non renseigné")</f>
        <v>0</v>
      </c>
      <c r="F735" s="462"/>
      <c r="G735" s="403" t="str">
        <f t="shared" si="172"/>
        <v>0</v>
      </c>
      <c r="H735" s="404"/>
      <c r="I735" s="400">
        <f>_xlfn.IFNA(VLOOKUP($C735,'Facteurs d''émission'!$D$2:$I$344,4,FALSE),"Non présent dans la base")</f>
        <v>0</v>
      </c>
      <c r="J735" s="405"/>
      <c r="K735" s="433">
        <f t="shared" si="173"/>
        <v>0</v>
      </c>
      <c r="L735" s="404"/>
      <c r="M735" s="405"/>
      <c r="N735" s="433">
        <f t="shared" si="174"/>
        <v>0</v>
      </c>
      <c r="P735" s="672"/>
      <c r="Q735" s="673"/>
      <c r="R735" s="673"/>
      <c r="S735" s="673"/>
      <c r="T735" s="674"/>
    </row>
    <row r="736" spans="3:23" s="14" customFormat="1">
      <c r="C736" s="53" t="s">
        <v>357</v>
      </c>
      <c r="D736" s="287"/>
      <c r="E736" s="401">
        <f>_xlfn.IFNA(VLOOKUP($C736,'Facteurs d''émission'!$D$2:$I$344,2,FALSE),"Non renseigné")</f>
        <v>0</v>
      </c>
      <c r="F736" s="462"/>
      <c r="G736" s="403" t="str">
        <f t="shared" si="172"/>
        <v>0</v>
      </c>
      <c r="H736" s="404"/>
      <c r="I736" s="400">
        <f>_xlfn.IFNA(VLOOKUP($C736,'Facteurs d''émission'!$D$2:$I$344,4,FALSE),"Non présent dans la base")</f>
        <v>0</v>
      </c>
      <c r="J736" s="405"/>
      <c r="K736" s="433">
        <f t="shared" si="173"/>
        <v>0</v>
      </c>
      <c r="L736" s="404"/>
      <c r="M736" s="405"/>
      <c r="N736" s="433">
        <f t="shared" si="174"/>
        <v>0</v>
      </c>
      <c r="P736" s="672"/>
      <c r="Q736" s="673"/>
      <c r="R736" s="673"/>
      <c r="S736" s="673"/>
      <c r="T736" s="674"/>
    </row>
    <row r="737" spans="1:25" s="14" customFormat="1">
      <c r="C737" s="53" t="s">
        <v>357</v>
      </c>
      <c r="D737" s="287"/>
      <c r="E737" s="401">
        <f>_xlfn.IFNA(VLOOKUP($C737,'Facteurs d''émission'!$D$2:$I$344,2,FALSE),"Non renseigné")</f>
        <v>0</v>
      </c>
      <c r="F737" s="462"/>
      <c r="G737" s="403" t="str">
        <f t="shared" si="172"/>
        <v>0</v>
      </c>
      <c r="H737" s="404"/>
      <c r="I737" s="400">
        <f>_xlfn.IFNA(VLOOKUP($C737,'Facteurs d''émission'!$D$2:$I$344,4,FALSE),"Non présent dans la base")</f>
        <v>0</v>
      </c>
      <c r="J737" s="405"/>
      <c r="K737" s="433">
        <f t="shared" si="173"/>
        <v>0</v>
      </c>
      <c r="L737" s="404"/>
      <c r="M737" s="405"/>
      <c r="N737" s="433">
        <f t="shared" si="174"/>
        <v>0</v>
      </c>
      <c r="P737" s="672"/>
      <c r="Q737" s="673"/>
      <c r="R737" s="673"/>
      <c r="S737" s="673"/>
      <c r="T737" s="674"/>
    </row>
    <row r="738" spans="1:25" s="14" customFormat="1">
      <c r="C738" s="53" t="s">
        <v>357</v>
      </c>
      <c r="D738" s="287"/>
      <c r="E738" s="401">
        <f>_xlfn.IFNA(VLOOKUP($C738,'Facteurs d''émission'!$D$2:$I$344,2,FALSE),"Non renseigné")</f>
        <v>0</v>
      </c>
      <c r="F738" s="462"/>
      <c r="G738" s="403" t="str">
        <f t="shared" si="172"/>
        <v>0</v>
      </c>
      <c r="H738" s="404"/>
      <c r="I738" s="400">
        <f>_xlfn.IFNA(VLOOKUP($C738,'Facteurs d''émission'!$D$2:$I$344,4,FALSE),"Non présent dans la base")</f>
        <v>0</v>
      </c>
      <c r="J738" s="405"/>
      <c r="K738" s="433">
        <f t="shared" si="173"/>
        <v>0</v>
      </c>
      <c r="L738" s="404"/>
      <c r="M738" s="405"/>
      <c r="N738" s="433">
        <f t="shared" si="174"/>
        <v>0</v>
      </c>
      <c r="P738" s="672"/>
      <c r="Q738" s="673"/>
      <c r="R738" s="673"/>
      <c r="S738" s="673"/>
      <c r="T738" s="674"/>
    </row>
    <row r="739" spans="1:25" s="14" customFormat="1">
      <c r="C739" s="53" t="s">
        <v>357</v>
      </c>
      <c r="D739" s="287"/>
      <c r="E739" s="401">
        <f>_xlfn.IFNA(VLOOKUP($C739,'Facteurs d''émission'!$D$2:$I$344,2,FALSE),"Non renseigné")</f>
        <v>0</v>
      </c>
      <c r="F739" s="462"/>
      <c r="G739" s="403" t="str">
        <f t="shared" si="172"/>
        <v>0</v>
      </c>
      <c r="H739" s="404"/>
      <c r="I739" s="400">
        <f>_xlfn.IFNA(VLOOKUP($C739,'Facteurs d''émission'!$D$2:$I$344,4,FALSE),"Non présent dans la base")</f>
        <v>0</v>
      </c>
      <c r="J739" s="405"/>
      <c r="K739" s="433">
        <f t="shared" si="173"/>
        <v>0</v>
      </c>
      <c r="L739" s="404" t="str">
        <f>IF(D739*E739*I739*COUNTA(J739)&gt;0,"ok","")</f>
        <v/>
      </c>
      <c r="M739" s="405"/>
      <c r="N739" s="433">
        <f t="shared" si="174"/>
        <v>0</v>
      </c>
      <c r="P739" s="672"/>
      <c r="Q739" s="673"/>
      <c r="R739" s="673"/>
      <c r="S739" s="673"/>
      <c r="T739" s="674"/>
    </row>
    <row r="740" spans="1:25" s="14" customFormat="1">
      <c r="C740" s="65" t="s">
        <v>26</v>
      </c>
      <c r="D740" s="66"/>
      <c r="E740" s="406"/>
      <c r="F740" s="406"/>
      <c r="G740" s="407">
        <f>SUM(G733:G739)</f>
        <v>0</v>
      </c>
      <c r="H740" s="404"/>
      <c r="I740" s="689" t="str">
        <f>IF(COUNTA(D733:D739)&gt;COUNTIF(L733:L739,"ok"),"! Remplir une incertitude !","")</f>
        <v/>
      </c>
      <c r="J740" s="690"/>
      <c r="K740" s="407">
        <f>SUM(K733:K739)</f>
        <v>0</v>
      </c>
      <c r="L740" s="412"/>
      <c r="M740" s="408"/>
      <c r="N740" s="407">
        <f>SUM(N733:N739)</f>
        <v>0</v>
      </c>
      <c r="P740" s="650" t="str">
        <f>IF(N740&gt;0,IF(#REF!="","Attention: vous devez planifier une action afin de remplir votre objectif",""),"")</f>
        <v/>
      </c>
      <c r="Q740" s="650"/>
      <c r="R740" s="650"/>
      <c r="S740" s="650"/>
      <c r="T740" s="650"/>
    </row>
    <row r="741" spans="1:25" s="147" customFormat="1" ht="12.75">
      <c r="A741" s="146"/>
      <c r="B741" s="146"/>
      <c r="C741" s="146"/>
      <c r="D741" s="146"/>
      <c r="E741" s="146"/>
      <c r="F741" s="146"/>
      <c r="G741" s="175"/>
      <c r="H741" s="113"/>
      <c r="I741" s="146"/>
      <c r="J741" s="146"/>
      <c r="K741" s="107"/>
      <c r="L741" s="111"/>
      <c r="M741" s="111"/>
      <c r="N741" s="175"/>
      <c r="O741" s="146"/>
      <c r="P741" s="146"/>
      <c r="Q741" s="146"/>
      <c r="R741" s="146"/>
      <c r="S741" s="146"/>
      <c r="T741" s="146"/>
      <c r="U741" s="146"/>
      <c r="V741" s="146"/>
      <c r="W741" s="146"/>
      <c r="X741" s="146"/>
      <c r="Y741" s="144"/>
    </row>
    <row r="742" spans="1:25" s="147" customFormat="1" ht="12.75">
      <c r="A742" s="146"/>
      <c r="B742" s="146"/>
      <c r="C742" s="146"/>
      <c r="D742" s="146"/>
      <c r="E742" s="146"/>
      <c r="F742" s="146"/>
      <c r="G742" s="175"/>
      <c r="H742" s="113"/>
      <c r="I742" s="146"/>
      <c r="J742" s="146"/>
      <c r="K742" s="107"/>
      <c r="L742" s="111"/>
      <c r="M742" s="111"/>
      <c r="N742" s="175"/>
      <c r="O742" s="146"/>
      <c r="P742" s="146"/>
      <c r="Q742" s="146"/>
      <c r="R742" s="146"/>
      <c r="S742" s="146"/>
      <c r="T742" s="146"/>
      <c r="U742" s="146"/>
      <c r="V742" s="146"/>
      <c r="W742" s="146"/>
      <c r="X742" s="146"/>
      <c r="Y742" s="144"/>
    </row>
    <row r="743" spans="1:25" s="147" customFormat="1">
      <c r="G743" s="176"/>
      <c r="H743" s="148"/>
      <c r="K743" s="134"/>
      <c r="L743" s="136"/>
      <c r="M743" s="136"/>
      <c r="N743" s="176"/>
    </row>
    <row r="744" spans="1:25" s="80" customFormat="1" ht="15.75">
      <c r="A744" s="79"/>
      <c r="B744" s="79"/>
      <c r="C744" s="688" t="s">
        <v>166</v>
      </c>
      <c r="D744" s="688"/>
      <c r="E744" s="688"/>
      <c r="F744" s="688"/>
      <c r="G744" s="688"/>
      <c r="H744" s="688"/>
      <c r="I744" s="688"/>
      <c r="J744" s="688"/>
      <c r="K744" s="688"/>
      <c r="L744" s="27"/>
      <c r="N744" s="134"/>
    </row>
    <row r="745" spans="1:25" s="80" customFormat="1">
      <c r="G745" s="134"/>
      <c r="I745" s="134"/>
      <c r="K745" s="134"/>
      <c r="N745" s="134"/>
    </row>
    <row r="746" spans="1:25" s="79" customFormat="1">
      <c r="A746" s="80"/>
      <c r="B746" s="80"/>
      <c r="C746" s="15" t="s">
        <v>140</v>
      </c>
      <c r="D746" s="250" t="s">
        <v>20</v>
      </c>
      <c r="E746" s="250"/>
      <c r="F746" s="76"/>
      <c r="G746" s="15"/>
      <c r="H746" s="246" t="s">
        <v>65</v>
      </c>
      <c r="I746" s="246"/>
      <c r="J746" s="246"/>
      <c r="K746" s="15"/>
      <c r="L746" s="245" t="s">
        <v>117</v>
      </c>
      <c r="M746" s="249"/>
      <c r="N746" s="249"/>
      <c r="O746" s="16" t="s">
        <v>13</v>
      </c>
    </row>
    <row r="747" spans="1:25" s="80" customFormat="1">
      <c r="A747" s="79"/>
      <c r="B747" s="79"/>
      <c r="C747" s="464" t="s">
        <v>119</v>
      </c>
      <c r="D747" s="465" t="s">
        <v>265</v>
      </c>
      <c r="E747" s="276" t="s">
        <v>355</v>
      </c>
      <c r="F747" s="466" t="s">
        <v>70</v>
      </c>
      <c r="H747" s="276" t="s">
        <v>265</v>
      </c>
      <c r="I747" s="276" t="s">
        <v>355</v>
      </c>
      <c r="J747" s="276" t="s">
        <v>53</v>
      </c>
      <c r="L747" s="276" t="s">
        <v>265</v>
      </c>
      <c r="M747" s="466" t="s">
        <v>355</v>
      </c>
      <c r="N747" s="276" t="s">
        <v>52</v>
      </c>
      <c r="O747" s="276" t="s">
        <v>355</v>
      </c>
    </row>
    <row r="748" spans="1:25" s="80" customFormat="1">
      <c r="C748" s="82" t="s">
        <v>50</v>
      </c>
      <c r="D748" s="83">
        <f>G710</f>
        <v>0</v>
      </c>
      <c r="E748" s="84">
        <f>D748/1000</f>
        <v>0</v>
      </c>
      <c r="F748" s="191" t="str">
        <f>IF(E$751=0,"",E748/E$751)</f>
        <v/>
      </c>
      <c r="H748" s="84">
        <f>K710</f>
        <v>0</v>
      </c>
      <c r="I748" s="84">
        <f>H748/1000</f>
        <v>0</v>
      </c>
      <c r="J748" s="135" t="str">
        <f>IF(D748=0,"",H748/D748)</f>
        <v/>
      </c>
      <c r="L748" s="84">
        <f>N710</f>
        <v>0</v>
      </c>
      <c r="M748" s="84">
        <f>L748/1000</f>
        <v>0</v>
      </c>
      <c r="N748" s="143" t="str">
        <f>IF($D748=0,"",L748/$D748)</f>
        <v/>
      </c>
      <c r="O748" s="85">
        <f>E748-M748</f>
        <v>0</v>
      </c>
    </row>
    <row r="749" spans="1:25" s="80" customFormat="1">
      <c r="C749" s="88" t="s">
        <v>18</v>
      </c>
      <c r="D749" s="89">
        <f>G727</f>
        <v>0</v>
      </c>
      <c r="E749" s="84">
        <f>D749/1000</f>
        <v>0</v>
      </c>
      <c r="F749" s="191" t="str">
        <f>IF(E$751=0,"",E749/E$751)</f>
        <v/>
      </c>
      <c r="H749" s="84">
        <f>K727</f>
        <v>0</v>
      </c>
      <c r="I749" s="84">
        <f>H749/1000</f>
        <v>0</v>
      </c>
      <c r="J749" s="135" t="str">
        <f>IF(D749=0,"",H749/D749)</f>
        <v/>
      </c>
      <c r="L749" s="84">
        <f>N727</f>
        <v>0</v>
      </c>
      <c r="M749" s="84">
        <f>L749/1000</f>
        <v>0</v>
      </c>
      <c r="N749" s="143" t="str">
        <f>IF($D749=0,"",L749/$D749)</f>
        <v/>
      </c>
      <c r="O749" s="85">
        <f>E749-M749</f>
        <v>0</v>
      </c>
    </row>
    <row r="750" spans="1:25" s="80" customFormat="1">
      <c r="C750" s="88" t="s">
        <v>125</v>
      </c>
      <c r="D750" s="89">
        <f>G740</f>
        <v>0</v>
      </c>
      <c r="E750" s="84">
        <f>D750/1000</f>
        <v>0</v>
      </c>
      <c r="F750" s="191" t="str">
        <f>IF(E$751=0,"",E750/E$751)</f>
        <v/>
      </c>
      <c r="H750" s="84">
        <f>K740</f>
        <v>0</v>
      </c>
      <c r="I750" s="84">
        <f>H750/1000</f>
        <v>0</v>
      </c>
      <c r="J750" s="135" t="str">
        <f>IF(D750=0,"",H750/D750)</f>
        <v/>
      </c>
      <c r="L750" s="84">
        <f>N740</f>
        <v>0</v>
      </c>
      <c r="M750" s="84">
        <f>L750/1000</f>
        <v>0</v>
      </c>
      <c r="N750" s="143" t="str">
        <f>IF($D750=0,"",L750/$D750)</f>
        <v/>
      </c>
      <c r="O750" s="85">
        <f>E750-M750</f>
        <v>0</v>
      </c>
    </row>
    <row r="751" spans="1:25" s="79" customFormat="1">
      <c r="C751" s="65" t="s">
        <v>12</v>
      </c>
      <c r="D751" s="67">
        <f>SUM(D748:D750)</f>
        <v>0</v>
      </c>
      <c r="E751" s="67">
        <f>SUM(E748:E750)</f>
        <v>0</v>
      </c>
      <c r="F751" s="92">
        <f>SUM(F748:F750)</f>
        <v>0</v>
      </c>
      <c r="H751" s="62">
        <f>SUM(H748:H750)</f>
        <v>0</v>
      </c>
      <c r="I751" s="67">
        <f>SUM(I748:I750)</f>
        <v>0</v>
      </c>
      <c r="J751" s="90" t="str">
        <f>IF(D751=0,"",H751/D751)</f>
        <v/>
      </c>
      <c r="K751" s="15"/>
      <c r="L751" s="62">
        <f>SUM(L748:L750)</f>
        <v>0</v>
      </c>
      <c r="M751" s="62">
        <f>SUM(M748:M750)</f>
        <v>0</v>
      </c>
      <c r="N751" s="92" t="str">
        <f>IF($D751=0,"",L751/$D751)</f>
        <v/>
      </c>
      <c r="O751" s="62">
        <f>SUM(O748:O750)</f>
        <v>0</v>
      </c>
    </row>
    <row r="752" spans="1:25" s="79" customFormat="1">
      <c r="C752" s="15"/>
      <c r="D752" s="15"/>
      <c r="E752" s="15"/>
      <c r="F752" s="15"/>
      <c r="G752" s="76"/>
      <c r="H752" s="15"/>
      <c r="I752" s="15"/>
      <c r="J752" s="15"/>
      <c r="K752" s="76"/>
      <c r="L752" s="15"/>
      <c r="M752" s="91"/>
      <c r="N752" s="76"/>
      <c r="O752" s="15"/>
      <c r="P752" s="15"/>
    </row>
    <row r="753" spans="3:15" s="146" customFormat="1">
      <c r="C753" s="140"/>
      <c r="D753" s="140"/>
      <c r="E753" s="140"/>
      <c r="F753" s="140"/>
      <c r="G753" s="177"/>
      <c r="H753" s="140"/>
      <c r="I753" s="140"/>
      <c r="J753" s="15"/>
      <c r="K753" s="182"/>
      <c r="L753" s="140"/>
      <c r="M753" s="140"/>
      <c r="N753" s="177"/>
    </row>
    <row r="754" spans="3:15" s="146" customFormat="1">
      <c r="C754" s="140"/>
      <c r="D754" s="140"/>
      <c r="E754" s="140"/>
      <c r="F754" s="140"/>
      <c r="G754" s="177"/>
      <c r="H754" s="140"/>
      <c r="I754" s="140"/>
      <c r="J754" s="15"/>
      <c r="K754" s="182"/>
      <c r="L754" s="140"/>
      <c r="M754" s="140"/>
      <c r="N754" s="177"/>
    </row>
    <row r="755" spans="3:15" s="9" customFormat="1">
      <c r="C755" s="95"/>
      <c r="D755" s="95"/>
      <c r="E755" s="95"/>
      <c r="F755" s="95"/>
      <c r="G755" s="165"/>
      <c r="H755" s="95"/>
      <c r="I755" s="95"/>
      <c r="J755" s="95"/>
      <c r="K755" s="165"/>
      <c r="L755" s="95"/>
      <c r="M755" s="95"/>
      <c r="N755" s="165"/>
      <c r="O755" s="95"/>
    </row>
    <row r="756" spans="3:15" s="9" customFormat="1">
      <c r="G756" s="97"/>
      <c r="J756" s="14"/>
      <c r="K756" s="183"/>
      <c r="L756" s="111"/>
      <c r="N756" s="97"/>
    </row>
    <row r="757" spans="3:15" s="9" customFormat="1">
      <c r="G757" s="97"/>
      <c r="J757" s="14"/>
      <c r="K757" s="183"/>
      <c r="L757" s="111"/>
      <c r="N757" s="97"/>
    </row>
    <row r="758" spans="3:15" s="9" customFormat="1">
      <c r="G758" s="97"/>
      <c r="K758" s="97"/>
      <c r="N758" s="97"/>
    </row>
    <row r="759" spans="3:15" s="9" customFormat="1">
      <c r="G759" s="97"/>
      <c r="K759" s="97"/>
      <c r="N759" s="97"/>
    </row>
    <row r="760" spans="3:15" s="9" customFormat="1">
      <c r="G760" s="97"/>
      <c r="K760" s="97"/>
      <c r="N760" s="97"/>
    </row>
    <row r="761" spans="3:15" s="9" customFormat="1">
      <c r="G761" s="97"/>
      <c r="K761" s="97"/>
      <c r="N761" s="97"/>
    </row>
    <row r="762" spans="3:15" s="9" customFormat="1">
      <c r="G762" s="97"/>
      <c r="K762" s="97"/>
      <c r="N762" s="97"/>
    </row>
    <row r="763" spans="3:15" s="9" customFormat="1">
      <c r="G763" s="97"/>
      <c r="K763" s="97"/>
      <c r="N763" s="97"/>
    </row>
    <row r="764" spans="3:15" s="9" customFormat="1">
      <c r="G764" s="97"/>
      <c r="K764" s="97"/>
      <c r="N764" s="97"/>
    </row>
    <row r="765" spans="3:15" s="9" customFormat="1">
      <c r="G765" s="97"/>
      <c r="K765" s="97"/>
      <c r="N765" s="97"/>
    </row>
    <row r="766" spans="3:15" s="9" customFormat="1">
      <c r="G766" s="97"/>
      <c r="K766" s="97"/>
      <c r="N766" s="97"/>
    </row>
    <row r="767" spans="3:15" s="9" customFormat="1">
      <c r="G767" s="97"/>
      <c r="K767" s="97"/>
      <c r="N767" s="97"/>
    </row>
    <row r="768" spans="3:15" s="9" customFormat="1">
      <c r="G768" s="97"/>
      <c r="K768" s="97"/>
      <c r="N768" s="97"/>
    </row>
    <row r="769" spans="7:31" s="9" customFormat="1">
      <c r="G769" s="97"/>
      <c r="K769" s="97"/>
      <c r="N769" s="97"/>
    </row>
    <row r="770" spans="7:31" s="9" customFormat="1">
      <c r="G770" s="97"/>
      <c r="K770" s="97"/>
      <c r="N770" s="97"/>
    </row>
    <row r="771" spans="7:31" s="9" customFormat="1" ht="12.75">
      <c r="G771" s="97"/>
      <c r="K771" s="97"/>
      <c r="N771" s="97"/>
      <c r="AE771" s="144"/>
    </row>
    <row r="772" spans="7:31" s="9" customFormat="1">
      <c r="G772" s="97"/>
      <c r="K772" s="97"/>
      <c r="N772" s="97"/>
    </row>
    <row r="773" spans="7:31" s="9" customFormat="1">
      <c r="G773" s="97"/>
      <c r="K773" s="97"/>
      <c r="N773" s="97"/>
    </row>
    <row r="774" spans="7:31" s="9" customFormat="1">
      <c r="G774" s="97"/>
      <c r="K774" s="97"/>
      <c r="N774" s="97"/>
    </row>
    <row r="775" spans="7:31" s="9" customFormat="1">
      <c r="G775" s="97"/>
      <c r="K775" s="97"/>
      <c r="N775" s="97"/>
    </row>
    <row r="776" spans="7:31" s="9" customFormat="1">
      <c r="G776" s="97"/>
      <c r="K776" s="97"/>
      <c r="N776" s="97"/>
    </row>
    <row r="777" spans="7:31" s="9" customFormat="1">
      <c r="G777" s="97"/>
      <c r="K777" s="97"/>
      <c r="N777" s="97"/>
    </row>
    <row r="778" spans="7:31" s="9" customFormat="1">
      <c r="G778" s="97"/>
      <c r="K778" s="97"/>
      <c r="N778" s="97"/>
    </row>
    <row r="779" spans="7:31" s="9" customFormat="1">
      <c r="G779" s="97"/>
      <c r="K779" s="97"/>
      <c r="N779" s="97"/>
    </row>
    <row r="780" spans="7:31" s="9" customFormat="1">
      <c r="G780" s="97"/>
      <c r="K780" s="97"/>
      <c r="N780" s="97"/>
    </row>
    <row r="781" spans="7:31" s="9" customFormat="1" ht="12.75">
      <c r="G781" s="97"/>
      <c r="K781" s="97"/>
      <c r="N781" s="97"/>
      <c r="Y781" s="144"/>
    </row>
    <row r="782" spans="7:31" s="9" customFormat="1">
      <c r="G782" s="97"/>
      <c r="K782" s="97"/>
      <c r="N782" s="97"/>
    </row>
    <row r="783" spans="7:31" s="9" customFormat="1">
      <c r="G783" s="97"/>
      <c r="K783" s="97"/>
      <c r="N783" s="97"/>
    </row>
    <row r="784" spans="7:31" s="9" customFormat="1" ht="59.45" customHeight="1">
      <c r="G784" s="97"/>
      <c r="K784" s="97"/>
      <c r="N784" s="97"/>
    </row>
    <row r="785" spans="3:32" s="9" customFormat="1">
      <c r="G785" s="97"/>
      <c r="K785" s="97"/>
      <c r="N785" s="97"/>
    </row>
    <row r="786" spans="3:32" s="14" customFormat="1" ht="23.25">
      <c r="C786" s="636" t="s">
        <v>168</v>
      </c>
      <c r="D786" s="636"/>
      <c r="E786" s="636"/>
      <c r="F786" s="636"/>
      <c r="G786" s="636"/>
      <c r="H786" s="636"/>
      <c r="I786" s="636"/>
      <c r="J786" s="636"/>
      <c r="K786" s="687"/>
      <c r="L786" s="687"/>
      <c r="M786" s="294"/>
      <c r="N786" s="13"/>
    </row>
    <row r="787" spans="3:32" s="79" customFormat="1" ht="12.75" customHeight="1">
      <c r="C787" s="16"/>
      <c r="D787" s="16"/>
      <c r="E787" s="16"/>
      <c r="F787" s="16"/>
      <c r="G787" s="164"/>
      <c r="H787" s="16"/>
      <c r="I787" s="16"/>
      <c r="J787" s="16"/>
      <c r="K787" s="185"/>
      <c r="L787" s="77"/>
      <c r="N787" s="107"/>
    </row>
    <row r="788" spans="3:32" s="79" customFormat="1">
      <c r="C788" s="16"/>
      <c r="D788" s="16"/>
      <c r="E788" s="16"/>
      <c r="F788" s="16"/>
      <c r="G788" s="164"/>
      <c r="H788" s="16"/>
      <c r="I788" s="16"/>
      <c r="J788" s="16"/>
      <c r="K788" s="185"/>
      <c r="L788" s="77"/>
      <c r="N788" s="107"/>
      <c r="AB788" s="9"/>
      <c r="AC788" s="9"/>
      <c r="AD788" s="9"/>
      <c r="AE788" s="9"/>
      <c r="AF788" s="9"/>
    </row>
    <row r="789" spans="3:32" s="79" customFormat="1">
      <c r="G789" s="107"/>
      <c r="K789" s="107"/>
      <c r="N789" s="107"/>
      <c r="AB789" s="9"/>
      <c r="AC789" s="9"/>
      <c r="AD789" s="9"/>
      <c r="AE789" s="9"/>
      <c r="AF789" s="9"/>
    </row>
    <row r="790" spans="3:32" s="15" customFormat="1">
      <c r="C790" s="15" t="s">
        <v>92</v>
      </c>
      <c r="E790" s="16" t="s">
        <v>20</v>
      </c>
      <c r="F790" s="16"/>
      <c r="G790" s="76"/>
      <c r="I790" s="629" t="s">
        <v>65</v>
      </c>
      <c r="J790" s="629"/>
      <c r="K790" s="181"/>
      <c r="M790" s="645" t="s">
        <v>117</v>
      </c>
      <c r="N790" s="695"/>
      <c r="O790" s="695"/>
      <c r="P790" s="16" t="s">
        <v>13</v>
      </c>
      <c r="AB790" s="9"/>
      <c r="AC790" s="9"/>
      <c r="AD790" s="9"/>
      <c r="AE790" s="9"/>
      <c r="AF790" s="9"/>
    </row>
    <row r="791" spans="3:32" s="15" customFormat="1">
      <c r="C791" s="149" t="s">
        <v>19</v>
      </c>
      <c r="D791" s="98"/>
      <c r="E791" s="72" t="s">
        <v>265</v>
      </c>
      <c r="F791" s="23" t="s">
        <v>355</v>
      </c>
      <c r="G791" s="171" t="s">
        <v>70</v>
      </c>
      <c r="I791" s="23" t="s">
        <v>265</v>
      </c>
      <c r="J791" s="23" t="s">
        <v>355</v>
      </c>
      <c r="K791" s="23" t="s">
        <v>53</v>
      </c>
      <c r="M791" s="23" t="s">
        <v>265</v>
      </c>
      <c r="N791" s="171" t="s">
        <v>355</v>
      </c>
      <c r="O791" s="23" t="s">
        <v>52</v>
      </c>
      <c r="P791" s="23" t="s">
        <v>355</v>
      </c>
      <c r="AB791" s="9"/>
      <c r="AC791" s="9"/>
      <c r="AD791" s="9"/>
      <c r="AE791" s="9"/>
      <c r="AF791" s="9"/>
    </row>
    <row r="792" spans="3:32" s="15" customFormat="1">
      <c r="C792" s="150" t="s">
        <v>8</v>
      </c>
      <c r="D792" s="151"/>
      <c r="E792" s="152">
        <f>E62</f>
        <v>0</v>
      </c>
      <c r="F792" s="153">
        <f t="shared" ref="F792:F798" si="175">E792/1000</f>
        <v>0</v>
      </c>
      <c r="G792" s="195" t="str">
        <f t="shared" ref="G792:G798" si="176">IF(F$799=0,"",F792/F$799)</f>
        <v/>
      </c>
      <c r="H792" s="76"/>
      <c r="I792" s="153">
        <f>I62</f>
        <v>0</v>
      </c>
      <c r="J792" s="153">
        <f>I792/1000</f>
        <v>0</v>
      </c>
      <c r="K792" s="195" t="str">
        <f t="shared" ref="K792:K799" si="177">IF(E792=0,"",I792/E792)</f>
        <v/>
      </c>
      <c r="L792" s="76"/>
      <c r="M792" s="153">
        <f>M62</f>
        <v>0</v>
      </c>
      <c r="N792" s="153">
        <f t="shared" ref="N792:N798" si="178">M792/1000</f>
        <v>0</v>
      </c>
      <c r="O792" s="92" t="str">
        <f t="shared" ref="O792:O798" si="179">IF($E792=0,"",M792/$E792)</f>
        <v/>
      </c>
      <c r="P792" s="153">
        <f t="shared" ref="P792:P798" si="180">F792-N792</f>
        <v>0</v>
      </c>
      <c r="AB792" s="14"/>
      <c r="AC792" s="14"/>
      <c r="AD792" s="14"/>
      <c r="AE792" s="14"/>
      <c r="AF792" s="14"/>
    </row>
    <row r="793" spans="3:32" s="15" customFormat="1">
      <c r="C793" s="150" t="s">
        <v>66</v>
      </c>
      <c r="D793" s="151"/>
      <c r="E793" s="152">
        <f>E169</f>
        <v>0</v>
      </c>
      <c r="F793" s="153">
        <f t="shared" si="175"/>
        <v>0</v>
      </c>
      <c r="G793" s="195" t="str">
        <f t="shared" si="176"/>
        <v/>
      </c>
      <c r="H793" s="76"/>
      <c r="I793" s="153">
        <f>I169</f>
        <v>0</v>
      </c>
      <c r="J793" s="153">
        <f t="shared" ref="J793:J798" si="181">I793/1000</f>
        <v>0</v>
      </c>
      <c r="K793" s="195" t="str">
        <f t="shared" si="177"/>
        <v/>
      </c>
      <c r="L793" s="76"/>
      <c r="M793" s="153">
        <f>M169</f>
        <v>0</v>
      </c>
      <c r="N793" s="153">
        <f t="shared" si="178"/>
        <v>0</v>
      </c>
      <c r="O793" s="92" t="str">
        <f t="shared" si="179"/>
        <v/>
      </c>
      <c r="P793" s="153">
        <f t="shared" si="180"/>
        <v>0</v>
      </c>
      <c r="AB793" s="14"/>
      <c r="AC793" s="14"/>
      <c r="AD793" s="14"/>
      <c r="AE793" s="14"/>
      <c r="AF793" s="14"/>
    </row>
    <row r="794" spans="3:32" s="15" customFormat="1">
      <c r="C794" s="150" t="s">
        <v>120</v>
      </c>
      <c r="D794" s="151"/>
      <c r="E794" s="67">
        <f>D303</f>
        <v>0</v>
      </c>
      <c r="F794" s="62">
        <f t="shared" si="175"/>
        <v>0</v>
      </c>
      <c r="G794" s="195" t="str">
        <f t="shared" si="176"/>
        <v/>
      </c>
      <c r="H794" s="76"/>
      <c r="I794" s="62">
        <f>I303</f>
        <v>0</v>
      </c>
      <c r="J794" s="62">
        <f t="shared" si="181"/>
        <v>0</v>
      </c>
      <c r="K794" s="194" t="str">
        <f t="shared" si="177"/>
        <v/>
      </c>
      <c r="L794" s="76"/>
      <c r="M794" s="62">
        <f>M303</f>
        <v>0</v>
      </c>
      <c r="N794" s="62">
        <f t="shared" si="178"/>
        <v>0</v>
      </c>
      <c r="O794" s="92" t="str">
        <f t="shared" si="179"/>
        <v/>
      </c>
      <c r="P794" s="62">
        <f t="shared" si="180"/>
        <v>0</v>
      </c>
      <c r="AB794" s="14"/>
      <c r="AC794" s="14"/>
      <c r="AD794" s="14"/>
      <c r="AE794" s="14"/>
      <c r="AF794" s="14"/>
    </row>
    <row r="795" spans="3:32" s="15" customFormat="1">
      <c r="C795" s="150" t="s">
        <v>89</v>
      </c>
      <c r="D795" s="151"/>
      <c r="E795" s="152">
        <f>D435</f>
        <v>0</v>
      </c>
      <c r="F795" s="153">
        <f t="shared" si="175"/>
        <v>0</v>
      </c>
      <c r="G795" s="195" t="str">
        <f t="shared" si="176"/>
        <v/>
      </c>
      <c r="H795" s="76"/>
      <c r="I795" s="153">
        <f>I435</f>
        <v>0</v>
      </c>
      <c r="J795" s="153">
        <f t="shared" si="181"/>
        <v>0</v>
      </c>
      <c r="K795" s="195" t="str">
        <f t="shared" si="177"/>
        <v/>
      </c>
      <c r="L795" s="76"/>
      <c r="M795" s="153">
        <f>M435</f>
        <v>0</v>
      </c>
      <c r="N795" s="153">
        <f t="shared" si="178"/>
        <v>0</v>
      </c>
      <c r="O795" s="92" t="str">
        <f t="shared" si="179"/>
        <v/>
      </c>
      <c r="P795" s="153">
        <f t="shared" si="180"/>
        <v>0</v>
      </c>
      <c r="AB795" s="9"/>
      <c r="AC795" s="9"/>
      <c r="AD795" s="9"/>
      <c r="AE795" s="9"/>
      <c r="AF795" s="9"/>
    </row>
    <row r="796" spans="3:32" s="15" customFormat="1">
      <c r="C796" s="150" t="s">
        <v>86</v>
      </c>
      <c r="D796" s="151"/>
      <c r="E796" s="152">
        <f>D573</f>
        <v>0</v>
      </c>
      <c r="F796" s="153">
        <f t="shared" si="175"/>
        <v>0</v>
      </c>
      <c r="G796" s="195" t="str">
        <f t="shared" si="176"/>
        <v/>
      </c>
      <c r="H796" s="76"/>
      <c r="I796" s="153" t="e">
        <f>H573</f>
        <v>#VALUE!</v>
      </c>
      <c r="J796" s="153" t="e">
        <f t="shared" si="181"/>
        <v>#VALUE!</v>
      </c>
      <c r="K796" s="195" t="str">
        <f t="shared" si="177"/>
        <v/>
      </c>
      <c r="L796" s="76"/>
      <c r="M796" s="153">
        <f>L573</f>
        <v>0</v>
      </c>
      <c r="N796" s="153">
        <f t="shared" si="178"/>
        <v>0</v>
      </c>
      <c r="O796" s="92" t="str">
        <f t="shared" si="179"/>
        <v/>
      </c>
      <c r="P796" s="153">
        <f t="shared" si="180"/>
        <v>0</v>
      </c>
      <c r="AB796" s="9"/>
      <c r="AC796" s="9"/>
      <c r="AD796" s="9"/>
      <c r="AE796" s="9"/>
      <c r="AF796" s="9"/>
    </row>
    <row r="797" spans="3:32" s="15" customFormat="1">
      <c r="C797" s="150" t="s">
        <v>16</v>
      </c>
      <c r="D797" s="151"/>
      <c r="E797" s="152">
        <f>E651</f>
        <v>0</v>
      </c>
      <c r="F797" s="153">
        <f t="shared" si="175"/>
        <v>0</v>
      </c>
      <c r="G797" s="195" t="str">
        <f t="shared" si="176"/>
        <v/>
      </c>
      <c r="H797" s="76"/>
      <c r="I797" s="153" t="e">
        <f>I651</f>
        <v>#VALUE!</v>
      </c>
      <c r="J797" s="153" t="e">
        <f t="shared" si="181"/>
        <v>#VALUE!</v>
      </c>
      <c r="K797" s="195" t="str">
        <f t="shared" si="177"/>
        <v/>
      </c>
      <c r="L797" s="76"/>
      <c r="M797" s="153">
        <f>M651</f>
        <v>0</v>
      </c>
      <c r="N797" s="153">
        <f t="shared" si="178"/>
        <v>0</v>
      </c>
      <c r="O797" s="92" t="str">
        <f t="shared" si="179"/>
        <v/>
      </c>
      <c r="P797" s="153">
        <f t="shared" si="180"/>
        <v>0</v>
      </c>
      <c r="AB797" s="9"/>
      <c r="AC797" s="9"/>
      <c r="AD797" s="9"/>
      <c r="AE797" s="9"/>
      <c r="AF797" s="9"/>
    </row>
    <row r="798" spans="3:32" s="15" customFormat="1">
      <c r="C798" s="154" t="s">
        <v>10</v>
      </c>
      <c r="D798" s="155"/>
      <c r="E798" s="156">
        <f>D751</f>
        <v>0</v>
      </c>
      <c r="F798" s="153">
        <f t="shared" si="175"/>
        <v>0</v>
      </c>
      <c r="G798" s="195" t="str">
        <f t="shared" si="176"/>
        <v/>
      </c>
      <c r="H798" s="76"/>
      <c r="I798" s="153">
        <f>H751</f>
        <v>0</v>
      </c>
      <c r="J798" s="153">
        <f t="shared" si="181"/>
        <v>0</v>
      </c>
      <c r="K798" s="195" t="str">
        <f t="shared" si="177"/>
        <v/>
      </c>
      <c r="L798" s="76"/>
      <c r="M798" s="153">
        <f>L751</f>
        <v>0</v>
      </c>
      <c r="N798" s="153">
        <f t="shared" si="178"/>
        <v>0</v>
      </c>
      <c r="O798" s="92" t="str">
        <f t="shared" si="179"/>
        <v/>
      </c>
      <c r="P798" s="153">
        <f t="shared" si="180"/>
        <v>0</v>
      </c>
      <c r="AB798" s="9"/>
      <c r="AC798" s="9"/>
      <c r="AD798" s="9"/>
      <c r="AE798" s="9"/>
      <c r="AF798" s="9"/>
    </row>
    <row r="799" spans="3:32" s="15" customFormat="1">
      <c r="C799" s="150" t="s">
        <v>12</v>
      </c>
      <c r="D799" s="157"/>
      <c r="E799" s="152">
        <f>SUM(E792:E798)</f>
        <v>0</v>
      </c>
      <c r="F799" s="152">
        <f>SUM(F792:F798)</f>
        <v>0</v>
      </c>
      <c r="G799" s="195">
        <f>SUM(G792:G798)</f>
        <v>0</v>
      </c>
      <c r="H799" s="76"/>
      <c r="I799" s="153" t="e">
        <f>SUM(I792:I798)</f>
        <v>#VALUE!</v>
      </c>
      <c r="J799" s="152" t="e">
        <f>SUM(J792:J798)</f>
        <v>#VALUE!</v>
      </c>
      <c r="K799" s="195" t="str">
        <f t="shared" si="177"/>
        <v/>
      </c>
      <c r="L799" s="76"/>
      <c r="M799" s="153">
        <f>SUM(M792:M798)</f>
        <v>0</v>
      </c>
      <c r="N799" s="153">
        <f>SUM(N792:N798)</f>
        <v>0</v>
      </c>
      <c r="O799" s="92" t="str">
        <f>IF($E799=0,"",M799/$E799)</f>
        <v/>
      </c>
      <c r="P799" s="153">
        <f>SUM(P792:P798)</f>
        <v>0</v>
      </c>
      <c r="AB799" s="14"/>
      <c r="AC799" s="14"/>
      <c r="AD799" s="14"/>
      <c r="AE799" s="14"/>
      <c r="AF799" s="14"/>
    </row>
    <row r="800" spans="3:32" s="79" customFormat="1">
      <c r="C800" s="15"/>
      <c r="D800" s="15"/>
      <c r="E800" s="15"/>
      <c r="F800" s="15"/>
      <c r="G800" s="76"/>
      <c r="H800" s="15"/>
      <c r="I800" s="15"/>
      <c r="J800" s="15"/>
      <c r="K800" s="76"/>
      <c r="L800" s="15"/>
      <c r="M800" s="91"/>
      <c r="N800" s="76"/>
      <c r="O800" s="15"/>
      <c r="P800" s="15"/>
    </row>
    <row r="801" spans="7:14" s="79" customFormat="1">
      <c r="G801" s="107"/>
      <c r="K801" s="107"/>
      <c r="N801" s="107"/>
    </row>
    <row r="802" spans="7:14" s="146" customFormat="1">
      <c r="G802" s="175"/>
      <c r="K802" s="175"/>
      <c r="N802" s="175"/>
    </row>
    <row r="803" spans="7:14" s="146" customFormat="1">
      <c r="G803" s="175"/>
      <c r="K803" s="175"/>
      <c r="N803" s="175"/>
    </row>
    <row r="804" spans="7:14" s="146" customFormat="1">
      <c r="G804" s="175"/>
      <c r="K804" s="175"/>
      <c r="N804" s="175"/>
    </row>
    <row r="805" spans="7:14" s="146" customFormat="1">
      <c r="G805" s="175"/>
      <c r="K805" s="175"/>
      <c r="N805" s="175"/>
    </row>
    <row r="806" spans="7:14" s="146" customFormat="1">
      <c r="G806" s="175"/>
      <c r="K806" s="175"/>
      <c r="N806" s="175"/>
    </row>
    <row r="807" spans="7:14" s="146" customFormat="1">
      <c r="G807" s="175"/>
      <c r="K807" s="175"/>
      <c r="N807" s="175"/>
    </row>
    <row r="808" spans="7:14" s="146" customFormat="1">
      <c r="G808" s="175"/>
      <c r="K808" s="175"/>
      <c r="N808" s="175"/>
    </row>
    <row r="809" spans="7:14" s="146" customFormat="1">
      <c r="G809" s="175"/>
      <c r="K809" s="175"/>
      <c r="N809" s="175"/>
    </row>
    <row r="810" spans="7:14" s="146" customFormat="1">
      <c r="G810" s="175"/>
      <c r="K810" s="175"/>
      <c r="N810" s="175"/>
    </row>
    <row r="811" spans="7:14" s="146" customFormat="1">
      <c r="G811" s="175"/>
      <c r="K811" s="175"/>
      <c r="N811" s="175"/>
    </row>
    <row r="812" spans="7:14" s="146" customFormat="1">
      <c r="G812" s="175"/>
      <c r="K812" s="175"/>
      <c r="N812" s="175"/>
    </row>
    <row r="813" spans="7:14" s="146" customFormat="1">
      <c r="G813" s="175"/>
      <c r="K813" s="175"/>
      <c r="N813" s="175"/>
    </row>
    <row r="814" spans="7:14" s="146" customFormat="1">
      <c r="G814" s="175"/>
      <c r="K814" s="175"/>
      <c r="N814" s="175"/>
    </row>
    <row r="815" spans="7:14" s="146" customFormat="1">
      <c r="G815" s="175"/>
      <c r="K815" s="175"/>
      <c r="N815" s="175"/>
    </row>
    <row r="816" spans="7:14" s="146" customFormat="1">
      <c r="G816" s="175"/>
      <c r="K816" s="175"/>
      <c r="N816" s="175"/>
    </row>
    <row r="817" spans="1:31" s="146" customFormat="1">
      <c r="G817" s="175"/>
      <c r="K817" s="175"/>
      <c r="N817" s="175"/>
    </row>
    <row r="818" spans="1:31" s="146" customFormat="1">
      <c r="G818" s="175"/>
      <c r="K818" s="175"/>
      <c r="N818" s="175"/>
    </row>
    <row r="819" spans="1:31" s="146" customFormat="1">
      <c r="G819" s="175"/>
      <c r="K819" s="175"/>
      <c r="N819" s="175"/>
    </row>
    <row r="820" spans="1:31" s="146" customFormat="1">
      <c r="G820" s="175"/>
      <c r="K820" s="175"/>
      <c r="N820" s="175"/>
    </row>
    <row r="821" spans="1:31" s="147" customFormat="1" ht="12.75">
      <c r="A821" s="146"/>
      <c r="B821" s="146"/>
      <c r="C821" s="146"/>
      <c r="D821" s="146"/>
      <c r="E821" s="146"/>
      <c r="F821" s="146"/>
      <c r="G821" s="175"/>
      <c r="H821" s="146"/>
      <c r="I821" s="146"/>
      <c r="J821" s="146"/>
      <c r="K821" s="175"/>
      <c r="L821" s="146"/>
      <c r="M821" s="146"/>
      <c r="N821" s="175"/>
      <c r="O821" s="146"/>
      <c r="P821" s="146"/>
      <c r="Q821" s="146"/>
      <c r="R821" s="146"/>
      <c r="S821" s="146"/>
      <c r="T821" s="146"/>
      <c r="U821" s="146"/>
      <c r="V821" s="146"/>
      <c r="W821" s="146"/>
      <c r="X821" s="146"/>
      <c r="Y821" s="146"/>
      <c r="Z821" s="146"/>
      <c r="AA821" s="146"/>
      <c r="AB821" s="146"/>
      <c r="AC821" s="146"/>
      <c r="AD821" s="146"/>
      <c r="AE821" s="144"/>
    </row>
    <row r="822" spans="1:31" s="147" customFormat="1">
      <c r="G822" s="176"/>
      <c r="K822" s="176"/>
      <c r="N822" s="176"/>
    </row>
    <row r="823" spans="1:31" s="147" customFormat="1">
      <c r="G823" s="176"/>
      <c r="K823" s="176"/>
      <c r="N823" s="176"/>
    </row>
    <row r="824" spans="1:31" s="147" customFormat="1">
      <c r="G824" s="176"/>
      <c r="K824" s="176"/>
      <c r="N824" s="176"/>
    </row>
    <row r="825" spans="1:31" s="147" customFormat="1">
      <c r="G825" s="176"/>
      <c r="K825" s="176"/>
      <c r="N825" s="176"/>
    </row>
    <row r="826" spans="1:31" s="147" customFormat="1">
      <c r="G826" s="176"/>
      <c r="K826" s="176"/>
      <c r="N826" s="176"/>
    </row>
    <row r="827" spans="1:31" s="147" customFormat="1">
      <c r="G827" s="176"/>
      <c r="K827" s="176"/>
      <c r="N827" s="176"/>
    </row>
    <row r="828" spans="1:31" s="147" customFormat="1">
      <c r="G828" s="176"/>
      <c r="K828" s="176"/>
      <c r="N828" s="176"/>
    </row>
    <row r="829" spans="1:31" s="147" customFormat="1">
      <c r="G829" s="176"/>
      <c r="K829" s="176"/>
      <c r="N829" s="176"/>
    </row>
  </sheetData>
  <protectedRanges>
    <protectedRange sqref="D114:D121" name="Plage1"/>
    <protectedRange sqref="J115:J121" name="Plage2"/>
    <protectedRange sqref="M114:M121" name="Plage3"/>
    <protectedRange sqref="P112" name="Plage4"/>
  </protectedRanges>
  <mergeCells count="215">
    <mergeCell ref="P405:T405"/>
    <mergeCell ref="P398:T404"/>
    <mergeCell ref="P392:T392"/>
    <mergeCell ref="P397:T397"/>
    <mergeCell ref="P369:T369"/>
    <mergeCell ref="P381:T381"/>
    <mergeCell ref="P347:T357"/>
    <mergeCell ref="P363:T363"/>
    <mergeCell ref="I420:J420"/>
    <mergeCell ref="I409:K409"/>
    <mergeCell ref="P411:T419"/>
    <mergeCell ref="I405:J405"/>
    <mergeCell ref="P387:T391"/>
    <mergeCell ref="M396:N396"/>
    <mergeCell ref="I381:J381"/>
    <mergeCell ref="I392:J392"/>
    <mergeCell ref="I396:K396"/>
    <mergeCell ref="I385:K385"/>
    <mergeCell ref="O478:S478"/>
    <mergeCell ref="O497:S497"/>
    <mergeCell ref="O532:S532"/>
    <mergeCell ref="O550:S550"/>
    <mergeCell ref="P410:T410"/>
    <mergeCell ref="P420:T420"/>
    <mergeCell ref="P33:T36"/>
    <mergeCell ref="U214:U215"/>
    <mergeCell ref="C167:D167"/>
    <mergeCell ref="C168:D168"/>
    <mergeCell ref="C104:L104"/>
    <mergeCell ref="C55:K55"/>
    <mergeCell ref="I43:K43"/>
    <mergeCell ref="D244:F244"/>
    <mergeCell ref="N251:O251"/>
    <mergeCell ref="P122:T122"/>
    <mergeCell ref="P244:S244"/>
    <mergeCell ref="D227:F227"/>
    <mergeCell ref="P227:S227"/>
    <mergeCell ref="N222:O222"/>
    <mergeCell ref="I227:L227"/>
    <mergeCell ref="U227:U228"/>
    <mergeCell ref="U244:U245"/>
    <mergeCell ref="N244:N245"/>
    <mergeCell ref="O244:O245"/>
    <mergeCell ref="C165:D165"/>
    <mergeCell ref="C166:D166"/>
    <mergeCell ref="D277:E277"/>
    <mergeCell ref="I277:K277"/>
    <mergeCell ref="N257:N258"/>
    <mergeCell ref="O257:O258"/>
    <mergeCell ref="U257:U258"/>
    <mergeCell ref="N277:N278"/>
    <mergeCell ref="O277:O278"/>
    <mergeCell ref="U277:U278"/>
    <mergeCell ref="P277:S277"/>
    <mergeCell ref="P278:P285"/>
    <mergeCell ref="G277:G278"/>
    <mergeCell ref="F277:F278"/>
    <mergeCell ref="I427:K427"/>
    <mergeCell ref="I362:K362"/>
    <mergeCell ref="P17:T24"/>
    <mergeCell ref="C227:C228"/>
    <mergeCell ref="G227:G228"/>
    <mergeCell ref="N227:N228"/>
    <mergeCell ref="O227:O228"/>
    <mergeCell ref="C244:C245"/>
    <mergeCell ref="G244:G245"/>
    <mergeCell ref="G257:G258"/>
    <mergeCell ref="C214:C215"/>
    <mergeCell ref="G214:G215"/>
    <mergeCell ref="N214:N215"/>
    <mergeCell ref="O214:O215"/>
    <mergeCell ref="P112:T121"/>
    <mergeCell ref="P140:T144"/>
    <mergeCell ref="P128:T133"/>
    <mergeCell ref="P151:T156"/>
    <mergeCell ref="E134:F134"/>
    <mergeCell ref="C164:D164"/>
    <mergeCell ref="C58:D58"/>
    <mergeCell ref="C59:D59"/>
    <mergeCell ref="C60:D60"/>
    <mergeCell ref="C61:D61"/>
    <mergeCell ref="I618:K618"/>
    <mergeCell ref="C566:K566"/>
    <mergeCell ref="I727:J727"/>
    <mergeCell ref="C645:K645"/>
    <mergeCell ref="I790:J790"/>
    <mergeCell ref="M790:O790"/>
    <mergeCell ref="I163:K163"/>
    <mergeCell ref="I291:K291"/>
    <mergeCell ref="I297:K297"/>
    <mergeCell ref="I244:L244"/>
    <mergeCell ref="I214:L214"/>
    <mergeCell ref="M618:N618"/>
    <mergeCell ref="N239:O239"/>
    <mergeCell ref="N285:O285"/>
    <mergeCell ref="I358:J358"/>
    <mergeCell ref="M297:O297"/>
    <mergeCell ref="M291:O291"/>
    <mergeCell ref="C289:K289"/>
    <mergeCell ref="C614:L614"/>
    <mergeCell ref="I373:K373"/>
    <mergeCell ref="D257:F257"/>
    <mergeCell ref="M427:O427"/>
    <mergeCell ref="C425:K425"/>
    <mergeCell ref="C473:L473"/>
    <mergeCell ref="P740:T740"/>
    <mergeCell ref="C786:L786"/>
    <mergeCell ref="P620:T630"/>
    <mergeCell ref="C744:K744"/>
    <mergeCell ref="M647:O647"/>
    <mergeCell ref="M695:N695"/>
    <mergeCell ref="M731:N731"/>
    <mergeCell ref="I714:K714"/>
    <mergeCell ref="I731:K731"/>
    <mergeCell ref="P727:T727"/>
    <mergeCell ref="P716:T726"/>
    <mergeCell ref="P715:T715"/>
    <mergeCell ref="P697:T709"/>
    <mergeCell ref="P710:T710"/>
    <mergeCell ref="P631:T631"/>
    <mergeCell ref="P732:T732"/>
    <mergeCell ref="P733:T739"/>
    <mergeCell ref="I740:J740"/>
    <mergeCell ref="I631:J631"/>
    <mergeCell ref="I710:J710"/>
    <mergeCell ref="C691:L691"/>
    <mergeCell ref="I695:K695"/>
    <mergeCell ref="I647:K647"/>
    <mergeCell ref="I638:K638"/>
    <mergeCell ref="V278:V285"/>
    <mergeCell ref="V277:Y277"/>
    <mergeCell ref="V257:Y257"/>
    <mergeCell ref="P346:T346"/>
    <mergeCell ref="P358:T358"/>
    <mergeCell ref="M373:N373"/>
    <mergeCell ref="P364:T368"/>
    <mergeCell ref="I345:K345"/>
    <mergeCell ref="M345:N345"/>
    <mergeCell ref="C341:L341"/>
    <mergeCell ref="I257:L257"/>
    <mergeCell ref="N272:O272"/>
    <mergeCell ref="M362:N362"/>
    <mergeCell ref="I369:J369"/>
    <mergeCell ref="K111:K113"/>
    <mergeCell ref="AA214:AE214"/>
    <mergeCell ref="P257:S257"/>
    <mergeCell ref="P696:T696"/>
    <mergeCell ref="M714:N714"/>
    <mergeCell ref="P374:T374"/>
    <mergeCell ref="P375:T380"/>
    <mergeCell ref="M385:N385"/>
    <mergeCell ref="V227:Y227"/>
    <mergeCell ref="AA278:AE284"/>
    <mergeCell ref="AA277:AE277"/>
    <mergeCell ref="AA215:AE221"/>
    <mergeCell ref="AA285:AE285"/>
    <mergeCell ref="AA239:AE239"/>
    <mergeCell ref="AA245:AE250"/>
    <mergeCell ref="V244:Y244"/>
    <mergeCell ref="AA222:AE222"/>
    <mergeCell ref="AA244:AE244"/>
    <mergeCell ref="AA227:AE227"/>
    <mergeCell ref="AA228:AE238"/>
    <mergeCell ref="AA272:AE272"/>
    <mergeCell ref="AA251:AE251"/>
    <mergeCell ref="AA258:AE271"/>
    <mergeCell ref="AA257:AE257"/>
    <mergeCell ref="V214:Y214"/>
    <mergeCell ref="C3:L3"/>
    <mergeCell ref="C4:L4"/>
    <mergeCell ref="C9:L9"/>
    <mergeCell ref="I25:J25"/>
    <mergeCell ref="P37:T37"/>
    <mergeCell ref="P16:T16"/>
    <mergeCell ref="P32:T32"/>
    <mergeCell ref="P25:T25"/>
    <mergeCell ref="P111:T111"/>
    <mergeCell ref="P214:S214"/>
    <mergeCell ref="M163:O163"/>
    <mergeCell ref="P127:T127"/>
    <mergeCell ref="P150:T150"/>
    <mergeCell ref="P44:T44"/>
    <mergeCell ref="P134:T134"/>
    <mergeCell ref="M57:O57"/>
    <mergeCell ref="P145:T145"/>
    <mergeCell ref="P51:T51"/>
    <mergeCell ref="P139:T139"/>
    <mergeCell ref="P157:T157"/>
    <mergeCell ref="P45:T50"/>
    <mergeCell ref="I31:K31"/>
    <mergeCell ref="I51:J51"/>
    <mergeCell ref="M638:N638"/>
    <mergeCell ref="P639:T639"/>
    <mergeCell ref="P640:T640"/>
    <mergeCell ref="P619:T619"/>
    <mergeCell ref="M409:N409"/>
    <mergeCell ref="J5:L5"/>
    <mergeCell ref="C111:C113"/>
    <mergeCell ref="D111:D113"/>
    <mergeCell ref="E111:E113"/>
    <mergeCell ref="G111:G113"/>
    <mergeCell ref="N111:N113"/>
    <mergeCell ref="M111:M113"/>
    <mergeCell ref="J111:J113"/>
    <mergeCell ref="I111:I113"/>
    <mergeCell ref="I37:J37"/>
    <mergeCell ref="E57:G57"/>
    <mergeCell ref="C161:K161"/>
    <mergeCell ref="C209:L209"/>
    <mergeCell ref="D214:F214"/>
    <mergeCell ref="E163:G163"/>
    <mergeCell ref="I122:J122"/>
    <mergeCell ref="I134:J134"/>
    <mergeCell ref="I145:J145"/>
    <mergeCell ref="I57:K57"/>
  </mergeCells>
  <phoneticPr fontId="0"/>
  <conditionalFormatting sqref="P740 P727 P710 P631:P636 O492 P420 P405 P392 P381 P369 P358:P360 AA285 AA272 AA251 AA239 AA222 P157 P145 P134:P136 P122 P51:P53 P37:P39 P25:P27 O527:O530 O547:O548 P562:P564 O561">
    <cfRule type="cellIs" dxfId="4" priority="5" stopIfTrue="1" operator="equal">
      <formula>"Attention: vous devez planifier une action afin de remplir votre objectif"</formula>
    </cfRule>
  </conditionalFormatting>
  <conditionalFormatting sqref="I740 I727 I710 I631:I636 H492 I420 I405 I392 I381 I369 I358:I360 N285 N272:N274 N251:N252 N239:N240 N222:N224 I157 I145 J146:J148 I134:I136 I122:I125 I51:I53 I37:I39 I25:I27 H527:H530 H547:H548 I562:I564 H561">
    <cfRule type="cellIs" dxfId="3" priority="6" stopIfTrue="1" operator="equal">
      <formula>"! Remplir une incertitude !"</formula>
    </cfRule>
  </conditionalFormatting>
  <conditionalFormatting sqref="J18:J24">
    <cfRule type="cellIs" dxfId="2" priority="7" stopIfTrue="1" operator="equal">
      <formula>"""! Vous devez définir une incertitude !"""</formula>
    </cfRule>
  </conditionalFormatting>
  <conditionalFormatting sqref="O546">
    <cfRule type="cellIs" dxfId="1" priority="1" stopIfTrue="1" operator="equal">
      <formula>"Attention: vous devez planifier une action afin de remplir votre objectif"</formula>
    </cfRule>
  </conditionalFormatting>
  <conditionalFormatting sqref="H546">
    <cfRule type="cellIs" dxfId="0" priority="2" stopIfTrue="1" operator="equal">
      <formula>"! Remplir une incertitude !"</formula>
    </cfRule>
  </conditionalFormatting>
  <hyperlinks>
    <hyperlink ref="I5" location="IMMOBILISATIONS" display="IMMOBILISATIONS"/>
    <hyperlink ref="H5" location="DECHETS_DIRECTS" display="DECHETS DIRECTS"/>
    <hyperlink ref="G5" location="RESTAURANT_UNIVERSITAIRE" display="RESTAURANT UNIVERSITAIRE"/>
    <hyperlink ref="F5" location="CONSOMMABLES_ET_MATERIAUX" display="CONSOMMABLES ET MATERIAUX"/>
    <hyperlink ref="C5" location="SOURCES_FIXES" display="SOURCES FIXES"/>
    <hyperlink ref="D5" location="FRET" display="FRET"/>
    <hyperlink ref="E5" location="DEPLACEMENT_PERSONNES" display="DEPLACEMENTS DE PERSONNES"/>
    <hyperlink ref="J5" location="TOTAL" display="TOTAL"/>
  </hyperlinks>
  <printOptions horizontalCentered="1" verticalCentered="1"/>
  <pageMargins left="0.5" right="0.34" top="0.4" bottom="0.45" header="0.28999999999999998" footer="0.32"/>
  <pageSetup paperSize="9" scale="30" fitToHeight="6" orientation="landscape" horizontalDpi="4294967292" verticalDpi="4294967292" r:id="rId1"/>
  <headerFooter alignWithMargins="0">
    <oddHeader>&amp;CRéalisé dans le cadre de la démarche Bilan Carbone™ Campus</oddHeader>
  </headerFooter>
  <rowBreaks count="6" manualBreakCount="6">
    <brk id="101" min="1" max="32" man="1"/>
    <brk id="206" min="1" max="32" man="1"/>
    <brk id="338" min="1" max="32" man="1"/>
    <brk id="470" min="1" max="32" man="1"/>
    <brk id="611" min="1" max="32" man="1"/>
    <brk id="688" min="1" max="32" man="1"/>
  </rowBreaks>
  <ignoredErrors>
    <ignoredError sqref="O799 O435 O303" formula="1"/>
  </ignoredErrors>
  <drawing r:id="rId2"/>
  <legacyDrawing r:id="rId3"/>
  <extLst>
    <ext xmlns:x14="http://schemas.microsoft.com/office/spreadsheetml/2009/9/main" uri="{CCE6A557-97BC-4b89-ADB6-D9C93CAAB3DF}">
      <x14:dataValidations xmlns:xm="http://schemas.microsoft.com/office/excel/2006/main" count="26">
        <x14:dataValidation type="list" allowBlank="1" showInputMessage="1" showErrorMessage="1">
          <x14:formula1>
            <xm:f>'Facteurs d''émission'!$D$2:$D$10</xm:f>
          </x14:formula1>
          <xm:sqref>C17:C19 C21:C24</xm:sqref>
        </x14:dataValidation>
        <x14:dataValidation type="list" allowBlank="1" showInputMessage="1" showErrorMessage="1">
          <x14:formula1>
            <xm:f>'Facteurs d''émission'!$D$11:$D$16</xm:f>
          </x14:formula1>
          <xm:sqref>C33:C36</xm:sqref>
        </x14:dataValidation>
        <x14:dataValidation type="list" allowBlank="1" showInputMessage="1" showErrorMessage="1">
          <x14:formula1>
            <xm:f>'Facteurs d''émission'!$D$17:$D$30</xm:f>
          </x14:formula1>
          <xm:sqref>C45:C50</xm:sqref>
        </x14:dataValidation>
        <x14:dataValidation type="list" allowBlank="1" showInputMessage="1" showErrorMessage="1">
          <x14:formula1>
            <xm:f>'Facteurs d''émission'!$D$31:$D$40</xm:f>
          </x14:formula1>
          <xm:sqref>C114:C121</xm:sqref>
        </x14:dataValidation>
        <x14:dataValidation type="list" allowBlank="1" showInputMessage="1" showErrorMessage="1">
          <x14:formula1>
            <xm:f>'Facteurs d''émission'!$D$41:$D$48</xm:f>
          </x14:formula1>
          <xm:sqref>C128:C133</xm:sqref>
        </x14:dataValidation>
        <x14:dataValidation type="list" allowBlank="1" showInputMessage="1" showErrorMessage="1">
          <x14:formula1>
            <xm:f>'Facteurs d''émission'!$D$49:$D$55</xm:f>
          </x14:formula1>
          <xm:sqref>C140:C144</xm:sqref>
        </x14:dataValidation>
        <x14:dataValidation type="list" allowBlank="1" showInputMessage="1" showErrorMessage="1">
          <x14:formula1>
            <xm:f>'Facteurs d''émission'!$D$56:$D$62</xm:f>
          </x14:formula1>
          <xm:sqref>C151:C156</xm:sqref>
        </x14:dataValidation>
        <x14:dataValidation type="list" allowBlank="1" showInputMessage="1" showErrorMessage="1">
          <x14:formula1>
            <xm:f>'Facteurs d''émission'!$D$63:$D$69</xm:f>
          </x14:formula1>
          <xm:sqref>C216:C221</xm:sqref>
        </x14:dataValidation>
        <x14:dataValidation type="list" allowBlank="1" showInputMessage="1" showErrorMessage="1">
          <x14:formula1>
            <xm:f>'Facteurs d''émission'!$D$70:$D$80</xm:f>
          </x14:formula1>
          <xm:sqref>C229:C238</xm:sqref>
        </x14:dataValidation>
        <x14:dataValidation type="list" allowBlank="1" showInputMessage="1" showErrorMessage="1">
          <x14:formula1>
            <xm:f>'Facteurs d''émission'!$D$81:$D$87</xm:f>
          </x14:formula1>
          <xm:sqref>C246:C250</xm:sqref>
        </x14:dataValidation>
        <x14:dataValidation type="list" allowBlank="1" showInputMessage="1" showErrorMessage="1">
          <x14:formula1>
            <xm:f>'Facteurs d''émission'!$D$88:$D$102</xm:f>
          </x14:formula1>
          <xm:sqref>C259:C271</xm:sqref>
        </x14:dataValidation>
        <x14:dataValidation type="list" allowBlank="1" showInputMessage="1" showErrorMessage="1">
          <x14:formula1>
            <xm:f>'Facteurs d''émission'!$D$103:$D$109</xm:f>
          </x14:formula1>
          <xm:sqref>C279:C284</xm:sqref>
        </x14:dataValidation>
        <x14:dataValidation type="list" allowBlank="1" showInputMessage="1" showErrorMessage="1">
          <x14:formula1>
            <xm:f>'Facteurs d''émission'!$D$110:$D$122</xm:f>
          </x14:formula1>
          <xm:sqref>C347:C357</xm:sqref>
        </x14:dataValidation>
        <x14:dataValidation type="list" allowBlank="1" showInputMessage="1" showErrorMessage="1">
          <x14:formula1>
            <xm:f>'Facteurs d''émission'!$D$123:$D$128</xm:f>
          </x14:formula1>
          <xm:sqref>C364:C368</xm:sqref>
        </x14:dataValidation>
        <x14:dataValidation type="list" allowBlank="1" showInputMessage="1" showErrorMessage="1">
          <x14:formula1>
            <xm:f>'Facteurs d''émission'!$D$129:$D$134</xm:f>
          </x14:formula1>
          <xm:sqref>C375:C380</xm:sqref>
        </x14:dataValidation>
        <x14:dataValidation type="list" allowBlank="1" showInputMessage="1" showErrorMessage="1">
          <x14:formula1>
            <xm:f>'Facteurs d''émission'!$D$135:$D$141</xm:f>
          </x14:formula1>
          <xm:sqref>C387:C391</xm:sqref>
        </x14:dataValidation>
        <x14:dataValidation type="list" allowBlank="1" showInputMessage="1" showErrorMessage="1">
          <x14:formula1>
            <xm:f>'Facteurs d''émission'!$D$142:$D$150</xm:f>
          </x14:formula1>
          <xm:sqref>C398:C404</xm:sqref>
        </x14:dataValidation>
        <x14:dataValidation type="list" allowBlank="1" showInputMessage="1" showErrorMessage="1">
          <x14:formula1>
            <xm:f>'Facteurs d''émission'!$D$151:$D$162</xm:f>
          </x14:formula1>
          <xm:sqref>C411:C419</xm:sqref>
        </x14:dataValidation>
        <x14:dataValidation type="list" allowBlank="1" showInputMessage="1" showErrorMessage="1">
          <x14:formula1>
            <xm:f>'Facteurs d''émission'!$D$163:$D$174</xm:f>
          </x14:formula1>
          <xm:sqref>C479:C491</xm:sqref>
        </x14:dataValidation>
        <x14:dataValidation type="list" allowBlank="1" showInputMessage="1" showErrorMessage="1">
          <x14:formula1>
            <xm:f>'Facteurs d''émission'!$D$175:$D$193</xm:f>
          </x14:formula1>
          <xm:sqref>C498:C526</xm:sqref>
        </x14:dataValidation>
        <x14:dataValidation type="list" allowBlank="1" showInputMessage="1" showErrorMessage="1">
          <x14:formula1>
            <xm:f>'Facteurs d''émission'!$D$194:$D$204</xm:f>
          </x14:formula1>
          <xm:sqref>C533:C545</xm:sqref>
        </x14:dataValidation>
        <x14:dataValidation type="list" allowBlank="1" showInputMessage="1" showErrorMessage="1">
          <x14:formula1>
            <xm:f>'Facteurs d''émission'!$D$205:$D$213</xm:f>
          </x14:formula1>
          <xm:sqref>C551:C560</xm:sqref>
        </x14:dataValidation>
        <x14:dataValidation type="list" allowBlank="1" showInputMessage="1" showErrorMessage="1">
          <x14:formula1>
            <xm:f>'Facteurs d''émission'!$D$214:$D$222</xm:f>
          </x14:formula1>
          <xm:sqref>C620:C630 C640</xm:sqref>
        </x14:dataValidation>
        <x14:dataValidation type="list" allowBlank="1" showInputMessage="1" showErrorMessage="1">
          <x14:formula1>
            <xm:f>'Facteurs d''émission'!$D$247:$D$253</xm:f>
          </x14:formula1>
          <xm:sqref>C733:C739</xm:sqref>
        </x14:dataValidation>
        <x14:dataValidation type="list" allowBlank="1" showInputMessage="1" showErrorMessage="1">
          <x14:formula1>
            <xm:f>'Facteurs d''émission'!$D$223:$D$235</xm:f>
          </x14:formula1>
          <xm:sqref>C697:C709</xm:sqref>
        </x14:dataValidation>
        <x14:dataValidation type="list" allowBlank="1" showInputMessage="1" showErrorMessage="1">
          <x14:formula1>
            <xm:f>'Facteurs d''émission'!$D$236:$D$246</xm:f>
          </x14:formula1>
          <xm:sqref>C716:C726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B1:O43"/>
  <sheetViews>
    <sheetView showGridLines="0" zoomScaleNormal="100" workbookViewId="0">
      <selection activeCell="C33" sqref="C33"/>
    </sheetView>
  </sheetViews>
  <sheetFormatPr baseColWidth="10" defaultColWidth="11.42578125" defaultRowHeight="12"/>
  <cols>
    <col min="1" max="1" width="11" style="18" customWidth="1"/>
    <col min="2" max="2" width="36.42578125" style="18" customWidth="1"/>
    <col min="3" max="3" width="14.140625" style="19" bestFit="1" customWidth="1"/>
    <col min="4" max="4" width="14.140625" style="19" customWidth="1"/>
    <col min="5" max="5" width="14.140625" style="19" bestFit="1" customWidth="1"/>
    <col min="6" max="6" width="11.140625" style="18" customWidth="1"/>
    <col min="7" max="7" width="29.42578125" style="18" bestFit="1" customWidth="1"/>
    <col min="8" max="9" width="12.85546875" style="18" customWidth="1"/>
    <col min="10" max="10" width="3.42578125" style="18" customWidth="1"/>
    <col min="11" max="11" width="11.42578125" style="18"/>
    <col min="12" max="12" width="12.140625" style="18" bestFit="1" customWidth="1"/>
    <col min="13" max="16384" width="11.42578125" style="18"/>
  </cols>
  <sheetData>
    <row r="1" spans="2:15" ht="18.399999999999999" customHeight="1"/>
    <row r="2" spans="2:15" s="14" customFormat="1" ht="23.25">
      <c r="B2" s="636" t="s">
        <v>114</v>
      </c>
      <c r="C2" s="636"/>
      <c r="D2" s="636"/>
      <c r="E2" s="636"/>
      <c r="F2" s="636"/>
      <c r="G2" s="636"/>
      <c r="H2" s="636"/>
      <c r="I2" s="636"/>
      <c r="J2" s="636"/>
      <c r="K2" s="636"/>
      <c r="L2" s="636"/>
      <c r="M2" s="636"/>
      <c r="N2" s="636"/>
      <c r="O2" s="13"/>
    </row>
    <row r="3" spans="2:15" ht="23.25">
      <c r="G3" s="22"/>
    </row>
    <row r="4" spans="2:15">
      <c r="C4" s="158" t="s">
        <v>429</v>
      </c>
      <c r="D4" s="158" t="s">
        <v>430</v>
      </c>
      <c r="E4" s="158" t="s">
        <v>431</v>
      </c>
    </row>
    <row r="5" spans="2:15" ht="12.75" thickBot="1">
      <c r="C5" s="159" t="s">
        <v>355</v>
      </c>
      <c r="D5" s="159" t="s">
        <v>355</v>
      </c>
      <c r="E5" s="159" t="s">
        <v>355</v>
      </c>
      <c r="H5"/>
      <c r="I5"/>
      <c r="J5"/>
      <c r="K5"/>
      <c r="L5"/>
    </row>
    <row r="6" spans="2:15" ht="12.75" thickBot="1">
      <c r="B6" s="467" t="s">
        <v>58</v>
      </c>
      <c r="C6" s="468">
        <f>SUM(C7:C9)</f>
        <v>0</v>
      </c>
      <c r="D6" s="568"/>
      <c r="E6" s="469">
        <f>SUM(E7:E9)</f>
        <v>0</v>
      </c>
      <c r="F6" s="19"/>
      <c r="G6" s="140" t="s">
        <v>427</v>
      </c>
      <c r="H6"/>
      <c r="I6"/>
      <c r="J6"/>
      <c r="K6" s="590" t="s">
        <v>428</v>
      </c>
      <c r="L6"/>
    </row>
    <row r="7" spans="2:15">
      <c r="B7" s="470" t="str">
        <f>'Campus site 1'!C59</f>
        <v>Combustibles fossiles</v>
      </c>
      <c r="C7" s="471">
        <f>'Campus site 1'!$E59/1000</f>
        <v>0</v>
      </c>
      <c r="D7" s="569"/>
      <c r="E7" s="472"/>
      <c r="F7" s="19"/>
      <c r="G7" s="566" t="s">
        <v>92</v>
      </c>
      <c r="H7" s="356" t="s">
        <v>355</v>
      </c>
      <c r="I7" s="567" t="s">
        <v>71</v>
      </c>
      <c r="K7" s="356" t="s">
        <v>355</v>
      </c>
      <c r="L7" s="567" t="s">
        <v>71</v>
      </c>
    </row>
    <row r="8" spans="2:15">
      <c r="B8" s="470" t="str">
        <f>'Campus site 1'!C60</f>
        <v>Electricité</v>
      </c>
      <c r="C8" s="471">
        <f>'Campus site 1'!$E60/1000</f>
        <v>0</v>
      </c>
      <c r="D8" s="569"/>
      <c r="E8" s="472"/>
      <c r="F8" s="19"/>
      <c r="G8" s="534" t="s">
        <v>8</v>
      </c>
      <c r="H8" s="535">
        <f>SUM(C6:E6)</f>
        <v>0</v>
      </c>
      <c r="I8" s="536" t="str">
        <f t="shared" ref="I8:I14" si="0">IF($H$15=0,"",H8/$H$15)</f>
        <v/>
      </c>
      <c r="K8" s="537"/>
      <c r="L8" s="536" t="str">
        <f>IFERROR(K8/H8,"")</f>
        <v/>
      </c>
    </row>
    <row r="9" spans="2:15" ht="12.75" thickBot="1">
      <c r="B9" s="473" t="str">
        <f>'Campus site 1'!C61</f>
        <v>Fuites de fluides frigorigènes</v>
      </c>
      <c r="C9" s="474">
        <f>'Campus site 1'!$E61/1000</f>
        <v>0</v>
      </c>
      <c r="D9" s="570"/>
      <c r="E9" s="475"/>
      <c r="F9" s="19"/>
      <c r="G9" s="538" t="s">
        <v>66</v>
      </c>
      <c r="H9" s="539">
        <f>SUM(C11:E11)</f>
        <v>0</v>
      </c>
      <c r="I9" s="540" t="str">
        <f t="shared" si="0"/>
        <v/>
      </c>
      <c r="K9" s="541"/>
      <c r="L9" s="540" t="str">
        <f t="shared" ref="L9:L14" si="1">IFERROR(K9/H9,"")</f>
        <v/>
      </c>
    </row>
    <row r="10" spans="2:15" ht="12.75" thickBot="1">
      <c r="G10" s="542" t="s">
        <v>183</v>
      </c>
      <c r="H10" s="543">
        <f>SUM(C17:E17)</f>
        <v>0</v>
      </c>
      <c r="I10" s="544" t="str">
        <f t="shared" si="0"/>
        <v/>
      </c>
      <c r="K10" s="545"/>
      <c r="L10" s="544" t="str">
        <f t="shared" si="1"/>
        <v/>
      </c>
    </row>
    <row r="11" spans="2:15" ht="12" customHeight="1">
      <c r="B11" s="476" t="str">
        <f>'Campus site 1'!C104</f>
        <v>FRET</v>
      </c>
      <c r="C11" s="477">
        <f>SUM(C12:C15)</f>
        <v>0</v>
      </c>
      <c r="D11" s="571"/>
      <c r="E11" s="478">
        <f>SUM(E12:E15)</f>
        <v>0</v>
      </c>
      <c r="F11" s="19"/>
      <c r="G11" s="546" t="s">
        <v>89</v>
      </c>
      <c r="H11" s="547">
        <f>SUM(C23:E23)</f>
        <v>0</v>
      </c>
      <c r="I11" s="548" t="str">
        <f t="shared" si="0"/>
        <v/>
      </c>
      <c r="K11" s="549"/>
      <c r="L11" s="548" t="str">
        <f t="shared" si="1"/>
        <v/>
      </c>
    </row>
    <row r="12" spans="2:15">
      <c r="B12" s="479" t="str">
        <f>'Campus site 1'!C165</f>
        <v>Fret routier</v>
      </c>
      <c r="C12" s="480">
        <f>'Campus site 1'!$F165</f>
        <v>0</v>
      </c>
      <c r="D12" s="572"/>
      <c r="E12" s="481"/>
      <c r="F12" s="19"/>
      <c r="G12" s="552" t="s">
        <v>184</v>
      </c>
      <c r="H12" s="553">
        <f>SUM(C31:E31)</f>
        <v>0</v>
      </c>
      <c r="I12" s="551" t="str">
        <f t="shared" si="0"/>
        <v/>
      </c>
      <c r="K12" s="550"/>
      <c r="L12" s="551" t="str">
        <f t="shared" si="1"/>
        <v/>
      </c>
    </row>
    <row r="13" spans="2:15">
      <c r="B13" s="479" t="str">
        <f>'Campus site 1'!C166</f>
        <v>Fret aérien</v>
      </c>
      <c r="C13" s="480">
        <f>'Campus site 1'!$F166</f>
        <v>0</v>
      </c>
      <c r="D13" s="572"/>
      <c r="E13" s="481"/>
      <c r="F13" s="19"/>
      <c r="G13" s="554" t="s">
        <v>185</v>
      </c>
      <c r="H13" s="555">
        <f>SUM(C36:E36)</f>
        <v>0</v>
      </c>
      <c r="I13" s="556" t="str">
        <f t="shared" si="0"/>
        <v/>
      </c>
      <c r="K13" s="557"/>
      <c r="L13" s="556" t="str">
        <f t="shared" si="1"/>
        <v/>
      </c>
    </row>
    <row r="14" spans="2:15">
      <c r="B14" s="479" t="str">
        <f>'Campus site 1'!C167</f>
        <v>Fret ferroviaire</v>
      </c>
      <c r="C14" s="480">
        <f>'Campus site 1'!$F167</f>
        <v>0</v>
      </c>
      <c r="D14" s="572"/>
      <c r="E14" s="481"/>
      <c r="F14" s="19"/>
      <c r="G14" s="558" t="s">
        <v>10</v>
      </c>
      <c r="H14" s="559">
        <f>SUM(C40:E40)</f>
        <v>0</v>
      </c>
      <c r="I14" s="560" t="str">
        <f t="shared" si="0"/>
        <v/>
      </c>
      <c r="K14" s="561"/>
      <c r="L14" s="560" t="str">
        <f t="shared" si="1"/>
        <v/>
      </c>
    </row>
    <row r="15" spans="2:15" ht="13.5" thickBot="1">
      <c r="B15" s="482" t="str">
        <f>'Campus site 1'!C168</f>
        <v>Fret maritime</v>
      </c>
      <c r="C15" s="483">
        <f>'Campus site 1'!$F168</f>
        <v>0</v>
      </c>
      <c r="D15" s="573"/>
      <c r="E15" s="484"/>
      <c r="F15" s="19"/>
      <c r="G15" s="562" t="s">
        <v>12</v>
      </c>
      <c r="H15" s="563">
        <f>SUM(H8:H14)</f>
        <v>0</v>
      </c>
      <c r="I15" s="564">
        <f>SUM(I8:I14)</f>
        <v>0</v>
      </c>
      <c r="K15" s="565">
        <f>SUM(K8:K14)</f>
        <v>0</v>
      </c>
      <c r="L15" s="564" t="str">
        <f>IF(H15=0,"",K15/H15)</f>
        <v/>
      </c>
    </row>
    <row r="16" spans="2:15" ht="12.75" thickBot="1"/>
    <row r="17" spans="2:7">
      <c r="B17" s="485" t="str">
        <f>'Campus site 1'!C209</f>
        <v>DEPLACEMENTS DE PERSONNES</v>
      </c>
      <c r="C17" s="486">
        <f>SUM(C18:C21)</f>
        <v>0</v>
      </c>
      <c r="D17" s="574"/>
      <c r="E17" s="487">
        <f>SUM(E18:E21)</f>
        <v>0</v>
      </c>
      <c r="F17" s="19"/>
    </row>
    <row r="18" spans="2:7">
      <c r="B18" s="488" t="str">
        <f>'Campus site 1'!C299</f>
        <v>Voiture</v>
      </c>
      <c r="C18" s="489">
        <f>'Campus site 1'!$D299/1000</f>
        <v>0</v>
      </c>
      <c r="D18" s="575"/>
      <c r="E18" s="490"/>
      <c r="F18" s="19"/>
    </row>
    <row r="19" spans="2:7">
      <c r="B19" s="488" t="str">
        <f>'Campus site 1'!C300</f>
        <v>Autres modes routiers</v>
      </c>
      <c r="C19" s="489">
        <f>'Campus site 1'!$D300/1000</f>
        <v>0</v>
      </c>
      <c r="D19" s="575"/>
      <c r="E19" s="490"/>
      <c r="F19" s="19"/>
    </row>
    <row r="20" spans="2:7">
      <c r="B20" s="488" t="str">
        <f>'Campus site 1'!C301</f>
        <v>Train</v>
      </c>
      <c r="C20" s="489">
        <f>'Campus site 1'!$D301/1000</f>
        <v>0</v>
      </c>
      <c r="D20" s="575"/>
      <c r="E20" s="490"/>
      <c r="F20" s="19"/>
    </row>
    <row r="21" spans="2:7" ht="12.75" thickBot="1">
      <c r="B21" s="491" t="str">
        <f>'Campus site 1'!C302</f>
        <v>Avion</v>
      </c>
      <c r="C21" s="492">
        <f>'Campus site 1'!$D302/1000</f>
        <v>0</v>
      </c>
      <c r="D21" s="576"/>
      <c r="E21" s="493"/>
      <c r="F21" s="19"/>
    </row>
    <row r="22" spans="2:7" ht="12.75" thickBot="1"/>
    <row r="23" spans="2:7">
      <c r="B23" s="494" t="str">
        <f>'Campus site 1'!C341</f>
        <v>CONSOMMABLES ET MATERIAUX</v>
      </c>
      <c r="C23" s="495">
        <f>SUM(C24:C29)</f>
        <v>0</v>
      </c>
      <c r="D23" s="577"/>
      <c r="E23" s="496">
        <f>SUM(E24:E29)</f>
        <v>0</v>
      </c>
      <c r="F23" s="19"/>
    </row>
    <row r="24" spans="2:7">
      <c r="B24" s="497" t="str">
        <f>'Campus site 1'!C429</f>
        <v>Métaux</v>
      </c>
      <c r="C24" s="498">
        <f>'Campus site 1'!$E429</f>
        <v>0</v>
      </c>
      <c r="D24" s="578"/>
      <c r="E24" s="499"/>
      <c r="F24" s="19"/>
    </row>
    <row r="25" spans="2:7">
      <c r="B25" s="497" t="str">
        <f>'Campus site 1'!C430</f>
        <v>Plastiques</v>
      </c>
      <c r="C25" s="498">
        <f>'Campus site 1'!$E430</f>
        <v>0</v>
      </c>
      <c r="D25" s="578"/>
      <c r="E25" s="499"/>
      <c r="F25" s="19"/>
      <c r="G25" s="19"/>
    </row>
    <row r="26" spans="2:7">
      <c r="B26" s="497" t="str">
        <f>'Campus site 1'!C431</f>
        <v>Verres</v>
      </c>
      <c r="C26" s="498">
        <f>'Campus site 1'!$E431</f>
        <v>0</v>
      </c>
      <c r="D26" s="578"/>
      <c r="E26" s="499"/>
      <c r="F26" s="19"/>
      <c r="G26" s="19"/>
    </row>
    <row r="27" spans="2:7">
      <c r="B27" s="497" t="str">
        <f>'Campus site 1'!C432</f>
        <v>Papiers et cartons</v>
      </c>
      <c r="C27" s="498">
        <f>'Campus site 1'!$E432</f>
        <v>0</v>
      </c>
      <c r="D27" s="578"/>
      <c r="E27" s="499"/>
      <c r="F27" s="19"/>
      <c r="G27" s="19"/>
    </row>
    <row r="28" spans="2:7">
      <c r="B28" s="500" t="str">
        <f>'Campus site 1'!C433</f>
        <v>Produits chimiques &amp; textiles de synthèse</v>
      </c>
      <c r="C28" s="501">
        <f>'Campus site 1'!$E433</f>
        <v>0</v>
      </c>
      <c r="D28" s="579"/>
      <c r="E28" s="502"/>
      <c r="F28" s="20"/>
      <c r="G28" s="20"/>
    </row>
    <row r="29" spans="2:7" ht="12.75" thickBot="1">
      <c r="B29" s="503" t="str">
        <f>'Campus site 1'!C434</f>
        <v>Autres (produits manufacturés ou services)</v>
      </c>
      <c r="C29" s="504">
        <f>'Campus site 1'!$E434</f>
        <v>0</v>
      </c>
      <c r="D29" s="580"/>
      <c r="E29" s="505"/>
      <c r="F29" s="19"/>
      <c r="G29" s="19"/>
    </row>
    <row r="30" spans="2:7" ht="12.75" thickBot="1"/>
    <row r="31" spans="2:7">
      <c r="B31" s="506" t="str">
        <f>'Campus site 1'!C473</f>
        <v>RESTAURANT UNIVERSITAIRE</v>
      </c>
      <c r="C31" s="507">
        <f>SUM(C32:C34)</f>
        <v>0</v>
      </c>
      <c r="D31" s="581"/>
      <c r="E31" s="508">
        <f>SUM(E32:E34)</f>
        <v>0</v>
      </c>
      <c r="F31" s="21"/>
      <c r="G31" s="21"/>
    </row>
    <row r="32" spans="2:7">
      <c r="B32" s="509" t="str">
        <f>'Campus site 1'!C570</f>
        <v>Viandes et poissons</v>
      </c>
      <c r="C32" s="510">
        <f>'Campus site 1'!$D570/1000</f>
        <v>0</v>
      </c>
      <c r="D32" s="582"/>
      <c r="E32" s="511"/>
      <c r="F32" s="19"/>
      <c r="G32" s="19"/>
    </row>
    <row r="33" spans="2:7">
      <c r="B33" s="512" t="str">
        <f>'Campus site 1'!C571</f>
        <v>Autres produits alimentaires</v>
      </c>
      <c r="C33" s="510">
        <f>'Campus site 1'!$D571/1000</f>
        <v>0</v>
      </c>
      <c r="D33" s="582"/>
      <c r="E33" s="511"/>
      <c r="F33" s="19"/>
      <c r="G33" s="19"/>
    </row>
    <row r="34" spans="2:7" ht="12.75" thickBot="1">
      <c r="B34" s="513" t="str">
        <f>'Campus site 1'!C572</f>
        <v>Repas</v>
      </c>
      <c r="C34" s="514">
        <f>'Campus site 1'!$D572/1000</f>
        <v>0</v>
      </c>
      <c r="D34" s="583"/>
      <c r="E34" s="515"/>
      <c r="F34" s="19"/>
      <c r="G34" s="19"/>
    </row>
    <row r="35" spans="2:7" ht="12.75" thickBot="1">
      <c r="B35" s="19"/>
      <c r="F35" s="19"/>
      <c r="G35" s="19"/>
    </row>
    <row r="36" spans="2:7">
      <c r="B36" s="516" t="str">
        <f>'Campus site 1'!C614</f>
        <v>DECHETS DIRECTS</v>
      </c>
      <c r="C36" s="517">
        <f>SUM(C37:C38)</f>
        <v>0</v>
      </c>
      <c r="D36" s="584"/>
      <c r="E36" s="518">
        <f>SUM(E37:E37)</f>
        <v>0</v>
      </c>
      <c r="F36" s="21"/>
      <c r="G36" s="21"/>
    </row>
    <row r="37" spans="2:7">
      <c r="B37" s="519" t="str">
        <f>'Campus site 1'!C649</f>
        <v>Déchets</v>
      </c>
      <c r="C37" s="520">
        <f>'Campus site 1'!F651</f>
        <v>0</v>
      </c>
      <c r="D37" s="585"/>
      <c r="E37" s="521"/>
      <c r="F37" s="19"/>
      <c r="G37" s="19"/>
    </row>
    <row r="38" spans="2:7">
      <c r="B38" s="598" t="s">
        <v>437</v>
      </c>
      <c r="C38" s="599">
        <f>'Campus site 1'!$F$650</f>
        <v>0</v>
      </c>
      <c r="D38" s="599"/>
      <c r="E38" s="599"/>
      <c r="F38" s="19"/>
      <c r="G38" s="19"/>
    </row>
    <row r="39" spans="2:7" ht="12.75" thickBot="1"/>
    <row r="40" spans="2:7">
      <c r="B40" s="522" t="str">
        <f>'Campus site 1'!C691</f>
        <v>IMMOBILISATIONS</v>
      </c>
      <c r="C40" s="523">
        <f>SUM(C41:C43)</f>
        <v>0</v>
      </c>
      <c r="D40" s="586"/>
      <c r="E40" s="524">
        <f>SUM(E41:E43)</f>
        <v>0</v>
      </c>
      <c r="F40" s="21"/>
      <c r="G40" s="21"/>
    </row>
    <row r="41" spans="2:7">
      <c r="B41" s="525" t="str">
        <f>'Campus site 1'!C748</f>
        <v>Bâtiments</v>
      </c>
      <c r="C41" s="526">
        <f>'Campus site 1'!$D748/1000</f>
        <v>0</v>
      </c>
      <c r="D41" s="587"/>
      <c r="E41" s="527"/>
      <c r="F41" s="19"/>
      <c r="G41" s="19"/>
    </row>
    <row r="42" spans="2:7">
      <c r="B42" s="528" t="str">
        <f>'Campus site 1'!C749</f>
        <v>Informatique</v>
      </c>
      <c r="C42" s="529">
        <f>'Campus site 1'!$D749/1000</f>
        <v>0</v>
      </c>
      <c r="D42" s="588"/>
      <c r="E42" s="530"/>
      <c r="F42" s="19"/>
      <c r="G42" s="19"/>
    </row>
    <row r="43" spans="2:7" ht="12.75" thickBot="1">
      <c r="B43" s="531" t="str">
        <f>'Campus site 1'!C750</f>
        <v>Autres équipements</v>
      </c>
      <c r="C43" s="532">
        <f>'Campus site 1'!$G740/1000</f>
        <v>0</v>
      </c>
      <c r="D43" s="589"/>
      <c r="E43" s="533"/>
      <c r="F43" s="19"/>
      <c r="G43" s="19"/>
    </row>
  </sheetData>
  <mergeCells count="1">
    <mergeCell ref="B2:N2"/>
  </mergeCells>
  <phoneticPr fontId="36"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T53"/>
  <sheetViews>
    <sheetView topLeftCell="A28" workbookViewId="0">
      <selection activeCell="C1" sqref="C1"/>
    </sheetView>
  </sheetViews>
  <sheetFormatPr baseColWidth="10" defaultColWidth="11.42578125" defaultRowHeight="12"/>
  <cols>
    <col min="1" max="1" width="2.42578125" style="9" customWidth="1"/>
    <col min="2" max="2" width="33.28515625" style="9" customWidth="1"/>
    <col min="3" max="3" width="23.7109375" style="9" customWidth="1"/>
    <col min="4" max="4" width="16.28515625" style="9" customWidth="1"/>
    <col min="5" max="5" width="15" style="9" customWidth="1"/>
    <col min="6" max="6" width="16.140625" style="9" customWidth="1"/>
    <col min="7" max="7" width="14.7109375" style="9" customWidth="1"/>
    <col min="8" max="8" width="15.28515625" style="9" customWidth="1"/>
    <col min="9" max="9" width="13.42578125" style="9" customWidth="1"/>
    <col min="10" max="10" width="14.7109375" style="9" customWidth="1"/>
    <col min="11" max="12" width="11.42578125" style="29"/>
    <col min="13" max="13" width="12.85546875" style="29" customWidth="1"/>
    <col min="14" max="15" width="11.42578125" style="29"/>
    <col min="16" max="16" width="14.7109375" style="29" customWidth="1"/>
    <col min="17" max="19" width="11.42578125" style="29"/>
    <col min="20" max="16384" width="11.42578125" style="9"/>
  </cols>
  <sheetData>
    <row r="1" spans="2:20" s="25" customFormat="1">
      <c r="B1" s="10"/>
      <c r="C1" s="10"/>
      <c r="D1" s="10"/>
      <c r="E1" s="10"/>
      <c r="F1" s="10"/>
      <c r="G1" s="10"/>
      <c r="H1" s="10"/>
      <c r="I1" s="10"/>
      <c r="K1" s="31"/>
      <c r="L1" s="31"/>
      <c r="M1" s="31"/>
      <c r="N1" s="31"/>
      <c r="O1" s="31"/>
      <c r="P1" s="31"/>
      <c r="Q1" s="31"/>
      <c r="R1" s="31"/>
      <c r="S1" s="31"/>
    </row>
    <row r="2" spans="2:20" s="14" customFormat="1" ht="23.25">
      <c r="B2" s="638" t="s">
        <v>311</v>
      </c>
      <c r="C2" s="638"/>
      <c r="D2" s="638"/>
      <c r="E2" s="638"/>
      <c r="F2" s="638"/>
      <c r="G2" s="638"/>
      <c r="H2" s="638"/>
      <c r="I2" s="638"/>
      <c r="J2" s="638"/>
      <c r="K2" s="32"/>
      <c r="L2" s="29"/>
      <c r="M2" s="29"/>
      <c r="N2" s="29"/>
      <c r="O2" s="29"/>
      <c r="P2" s="29"/>
      <c r="Q2" s="29"/>
      <c r="R2" s="29"/>
      <c r="S2" s="29"/>
    </row>
    <row r="3" spans="2:20" s="14" customFormat="1">
      <c r="K3" s="29"/>
      <c r="L3" s="29"/>
      <c r="M3" s="29"/>
      <c r="N3" s="29"/>
      <c r="O3" s="29"/>
      <c r="P3" s="29"/>
      <c r="Q3" s="29"/>
      <c r="R3" s="29"/>
      <c r="S3" s="29"/>
    </row>
    <row r="4" spans="2:20" s="14" customFormat="1">
      <c r="B4" s="15" t="s">
        <v>130</v>
      </c>
      <c r="K4" s="29"/>
      <c r="L4" s="29"/>
      <c r="M4" s="29"/>
      <c r="N4" s="29"/>
      <c r="O4" s="29"/>
      <c r="P4" s="29"/>
      <c r="Q4" s="29"/>
      <c r="R4" s="29"/>
      <c r="S4" s="29"/>
    </row>
    <row r="5" spans="2:20" s="14" customFormat="1">
      <c r="B5" s="4" t="s">
        <v>67</v>
      </c>
      <c r="C5" s="4" t="s">
        <v>60</v>
      </c>
      <c r="D5" s="4" t="s">
        <v>61</v>
      </c>
      <c r="G5" s="29" t="s">
        <v>67</v>
      </c>
      <c r="H5" s="29"/>
      <c r="I5" s="33" t="s">
        <v>93</v>
      </c>
      <c r="K5" s="29"/>
      <c r="L5" s="29"/>
      <c r="M5" s="29"/>
      <c r="N5" s="29"/>
      <c r="O5" s="29"/>
      <c r="P5" s="29"/>
      <c r="Q5" s="29"/>
      <c r="R5" s="29"/>
      <c r="S5" s="29"/>
    </row>
    <row r="6" spans="2:20" s="14" customFormat="1">
      <c r="B6" s="56" t="s">
        <v>128</v>
      </c>
      <c r="C6" s="63"/>
      <c r="D6" s="26">
        <f t="shared" ref="D6:D11" si="0">C6/I6</f>
        <v>0</v>
      </c>
      <c r="G6" s="34" t="s">
        <v>25</v>
      </c>
      <c r="H6" s="29"/>
      <c r="I6" s="35">
        <v>1.1100000000000001</v>
      </c>
      <c r="K6" s="29"/>
      <c r="L6" s="29"/>
      <c r="M6" s="29"/>
      <c r="N6" s="29"/>
      <c r="O6" s="29"/>
      <c r="P6" s="29"/>
      <c r="Q6" s="29"/>
      <c r="R6" s="29"/>
      <c r="S6" s="29"/>
    </row>
    <row r="7" spans="2:20" s="14" customFormat="1">
      <c r="B7" s="49" t="s">
        <v>7</v>
      </c>
      <c r="C7" s="63"/>
      <c r="D7" s="26">
        <f t="shared" si="0"/>
        <v>0</v>
      </c>
      <c r="G7" s="34" t="s">
        <v>7</v>
      </c>
      <c r="H7" s="33"/>
      <c r="I7" s="35">
        <v>1.0900000000000001</v>
      </c>
      <c r="K7" s="29"/>
      <c r="L7" s="189"/>
      <c r="M7" s="189"/>
      <c r="N7" s="189"/>
      <c r="O7" s="189"/>
      <c r="P7" s="189"/>
      <c r="Q7" s="189"/>
      <c r="R7" s="189"/>
      <c r="S7" s="189"/>
    </row>
    <row r="8" spans="2:20" s="14" customFormat="1">
      <c r="B8" s="49" t="s">
        <v>62</v>
      </c>
      <c r="C8" s="63"/>
      <c r="D8" s="26">
        <f t="shared" si="0"/>
        <v>0</v>
      </c>
      <c r="G8" s="34" t="s">
        <v>62</v>
      </c>
      <c r="H8" s="33"/>
      <c r="I8" s="35">
        <v>1.08</v>
      </c>
      <c r="K8" s="29"/>
      <c r="L8" s="29"/>
      <c r="M8" s="29"/>
      <c r="N8" s="29"/>
      <c r="O8" s="29"/>
      <c r="P8" s="29"/>
      <c r="Q8" s="29"/>
      <c r="R8" s="29"/>
      <c r="S8" s="29"/>
      <c r="T8" s="29"/>
    </row>
    <row r="9" spans="2:20" s="14" customFormat="1">
      <c r="B9" s="49" t="s">
        <v>63</v>
      </c>
      <c r="C9" s="63"/>
      <c r="D9" s="26">
        <f t="shared" si="0"/>
        <v>0</v>
      </c>
      <c r="G9" s="34" t="s">
        <v>63</v>
      </c>
      <c r="H9" s="29"/>
      <c r="I9" s="35">
        <v>1.07</v>
      </c>
      <c r="K9" s="29"/>
      <c r="L9" s="29"/>
      <c r="M9" s="29"/>
      <c r="N9" s="29"/>
      <c r="O9" s="29"/>
      <c r="P9" s="29"/>
      <c r="Q9" s="29"/>
      <c r="R9" s="29"/>
      <c r="S9" s="29"/>
      <c r="T9" s="29"/>
    </row>
    <row r="10" spans="2:20" s="14" customFormat="1">
      <c r="B10" s="49" t="s">
        <v>68</v>
      </c>
      <c r="C10" s="63"/>
      <c r="D10" s="26">
        <f t="shared" si="0"/>
        <v>0</v>
      </c>
      <c r="G10" s="34" t="s">
        <v>68</v>
      </c>
      <c r="H10" s="29"/>
      <c r="I10" s="35">
        <v>1.06</v>
      </c>
      <c r="K10" s="29"/>
      <c r="L10" s="29"/>
      <c r="M10" s="29"/>
      <c r="N10" s="29"/>
      <c r="O10" s="29"/>
      <c r="P10" s="29"/>
      <c r="Q10" s="29"/>
      <c r="R10" s="29"/>
      <c r="S10" s="29"/>
      <c r="T10" s="29"/>
    </row>
    <row r="11" spans="2:20" s="14" customFormat="1">
      <c r="B11" s="49" t="s">
        <v>64</v>
      </c>
      <c r="C11" s="63"/>
      <c r="D11" s="26">
        <f t="shared" si="0"/>
        <v>0</v>
      </c>
      <c r="G11" s="34" t="s">
        <v>64</v>
      </c>
      <c r="H11" s="29"/>
      <c r="I11" s="35">
        <v>1.05</v>
      </c>
      <c r="K11" s="29"/>
      <c r="L11" s="29"/>
      <c r="M11" s="29"/>
      <c r="N11" s="29"/>
      <c r="O11" s="29"/>
      <c r="P11" s="29"/>
      <c r="Q11" s="29"/>
      <c r="R11" s="29"/>
      <c r="S11" s="29"/>
      <c r="T11" s="29"/>
    </row>
    <row r="12" spans="2:20" s="14" customFormat="1">
      <c r="K12" s="29"/>
      <c r="L12" s="29"/>
      <c r="M12" s="29"/>
      <c r="N12" s="29"/>
      <c r="O12" s="29"/>
      <c r="P12" s="29"/>
      <c r="Q12" s="29"/>
      <c r="R12" s="29"/>
      <c r="S12" s="29"/>
      <c r="T12" s="29"/>
    </row>
    <row r="13" spans="2:20" s="14" customFormat="1">
      <c r="B13" s="50" t="s">
        <v>131</v>
      </c>
      <c r="K13" s="29"/>
      <c r="L13" s="29"/>
      <c r="M13" s="743" t="s">
        <v>77</v>
      </c>
      <c r="N13" s="743"/>
      <c r="O13" s="743"/>
      <c r="P13" s="743"/>
      <c r="Q13" s="743"/>
      <c r="R13" s="743"/>
      <c r="S13" s="743"/>
      <c r="T13" s="29"/>
    </row>
    <row r="14" spans="2:20" s="14" customFormat="1">
      <c r="B14" s="48" t="s">
        <v>98</v>
      </c>
      <c r="C14" s="48" t="s">
        <v>99</v>
      </c>
      <c r="D14" s="51" t="s">
        <v>100</v>
      </c>
      <c r="E14" s="51" t="s">
        <v>101</v>
      </c>
      <c r="F14" s="4" t="s">
        <v>1</v>
      </c>
      <c r="G14" s="51" t="s">
        <v>61</v>
      </c>
      <c r="H14" s="4" t="s">
        <v>3</v>
      </c>
      <c r="I14" s="4" t="s">
        <v>4</v>
      </c>
      <c r="J14" s="51" t="s">
        <v>94</v>
      </c>
      <c r="K14" s="29"/>
      <c r="L14" s="29"/>
      <c r="M14" s="33" t="s">
        <v>78</v>
      </c>
      <c r="N14" s="33" t="s">
        <v>79</v>
      </c>
      <c r="O14" s="33" t="s">
        <v>1</v>
      </c>
      <c r="P14" s="33" t="s">
        <v>2</v>
      </c>
      <c r="Q14" s="33" t="s">
        <v>3</v>
      </c>
      <c r="R14" s="33" t="s">
        <v>4</v>
      </c>
      <c r="S14" s="33" t="s">
        <v>72</v>
      </c>
      <c r="T14" s="29"/>
    </row>
    <row r="15" spans="2:20" s="14" customFormat="1">
      <c r="B15" s="56" t="s">
        <v>100</v>
      </c>
      <c r="C15" s="8"/>
      <c r="D15" s="6">
        <f t="shared" ref="D15:J21" si="1">$C15*M15</f>
        <v>0</v>
      </c>
      <c r="E15" s="6">
        <f>$C15*N15</f>
        <v>0</v>
      </c>
      <c r="F15" s="5">
        <f t="shared" si="1"/>
        <v>0</v>
      </c>
      <c r="G15" s="5">
        <f t="shared" si="1"/>
        <v>0</v>
      </c>
      <c r="H15" s="5">
        <f t="shared" si="1"/>
        <v>0</v>
      </c>
      <c r="I15" s="5">
        <f t="shared" si="1"/>
        <v>0</v>
      </c>
      <c r="J15" s="5">
        <f t="shared" si="1"/>
        <v>0</v>
      </c>
      <c r="K15" s="29"/>
      <c r="L15" s="35" t="s">
        <v>78</v>
      </c>
      <c r="M15" s="36">
        <v>1</v>
      </c>
      <c r="N15" s="37">
        <f>O15/O16</f>
        <v>1.4340344168260037</v>
      </c>
      <c r="O15" s="38">
        <v>42000000000</v>
      </c>
      <c r="P15" s="36">
        <f>O15/3600000</f>
        <v>11666.666666666666</v>
      </c>
      <c r="Q15" s="36">
        <f>O15*Q17</f>
        <v>39808351.223395936</v>
      </c>
      <c r="R15" s="36">
        <v>1200</v>
      </c>
      <c r="S15" s="37">
        <f>1/M21</f>
        <v>2.9914529914529915</v>
      </c>
      <c r="T15" s="29"/>
    </row>
    <row r="16" spans="2:20" s="14" customFormat="1">
      <c r="B16" s="56" t="s">
        <v>101</v>
      </c>
      <c r="C16" s="63"/>
      <c r="D16" s="6">
        <f t="shared" si="1"/>
        <v>0</v>
      </c>
      <c r="E16" s="6">
        <f t="shared" si="1"/>
        <v>0</v>
      </c>
      <c r="F16" s="5">
        <f t="shared" si="1"/>
        <v>0</v>
      </c>
      <c r="G16" s="5">
        <f t="shared" si="1"/>
        <v>0</v>
      </c>
      <c r="H16" s="5">
        <f t="shared" si="1"/>
        <v>0</v>
      </c>
      <c r="I16" s="5">
        <f t="shared" si="1"/>
        <v>0</v>
      </c>
      <c r="J16" s="5">
        <f t="shared" si="1"/>
        <v>0</v>
      </c>
      <c r="K16" s="29"/>
      <c r="L16" s="35" t="s">
        <v>79</v>
      </c>
      <c r="M16" s="39">
        <f>1/N15</f>
        <v>0.69733333333333336</v>
      </c>
      <c r="N16" s="36">
        <v>1</v>
      </c>
      <c r="O16" s="38">
        <f>4.184*7000000000</f>
        <v>29288000000</v>
      </c>
      <c r="P16" s="36">
        <f>O16/3600000</f>
        <v>8135.5555555555557</v>
      </c>
      <c r="Q16" s="36">
        <f>O16*Q17</f>
        <v>27759690.253114767</v>
      </c>
      <c r="R16" s="36">
        <f>R15/N15</f>
        <v>836.80000000000007</v>
      </c>
      <c r="S16" s="37">
        <f>1/N21</f>
        <v>2.0860398860398859</v>
      </c>
      <c r="T16" s="29"/>
    </row>
    <row r="17" spans="2:20" s="14" customFormat="1">
      <c r="B17" s="49" t="s">
        <v>1</v>
      </c>
      <c r="C17" s="63"/>
      <c r="D17" s="6">
        <f t="shared" si="1"/>
        <v>0</v>
      </c>
      <c r="E17" s="6">
        <f t="shared" si="1"/>
        <v>0</v>
      </c>
      <c r="F17" s="5">
        <f t="shared" si="1"/>
        <v>0</v>
      </c>
      <c r="G17" s="5">
        <f t="shared" si="1"/>
        <v>0</v>
      </c>
      <c r="H17" s="5">
        <f t="shared" si="1"/>
        <v>0</v>
      </c>
      <c r="I17" s="5">
        <f t="shared" si="1"/>
        <v>0</v>
      </c>
      <c r="J17" s="5">
        <f t="shared" si="1"/>
        <v>0</v>
      </c>
      <c r="K17" s="29"/>
      <c r="L17" s="35" t="s">
        <v>1</v>
      </c>
      <c r="M17" s="40">
        <f>1/O15</f>
        <v>2.3809523809523808E-11</v>
      </c>
      <c r="N17" s="41">
        <f>1/O16</f>
        <v>3.414367659109533E-11</v>
      </c>
      <c r="O17" s="36">
        <v>1</v>
      </c>
      <c r="P17" s="38">
        <f>1/O18</f>
        <v>2.7777777777777776E-7</v>
      </c>
      <c r="Q17" s="42">
        <f>1/O19</f>
        <v>9.4781788627133182E-4</v>
      </c>
      <c r="R17" s="38">
        <f>1/O20</f>
        <v>2.8571428571428572E-8</v>
      </c>
      <c r="S17" s="38">
        <f>1/O21</f>
        <v>7.1225071225071231E-11</v>
      </c>
      <c r="T17" s="29"/>
    </row>
    <row r="18" spans="2:20" s="14" customFormat="1">
      <c r="B18" s="56" t="s">
        <v>61</v>
      </c>
      <c r="C18" s="63"/>
      <c r="D18" s="6">
        <f t="shared" si="1"/>
        <v>0</v>
      </c>
      <c r="E18" s="6">
        <f t="shared" si="1"/>
        <v>0</v>
      </c>
      <c r="F18" s="5">
        <f t="shared" si="1"/>
        <v>0</v>
      </c>
      <c r="G18" s="5">
        <f t="shared" si="1"/>
        <v>0</v>
      </c>
      <c r="H18" s="5">
        <f t="shared" si="1"/>
        <v>0</v>
      </c>
      <c r="I18" s="5">
        <f t="shared" si="1"/>
        <v>0</v>
      </c>
      <c r="J18" s="5">
        <f t="shared" si="1"/>
        <v>0</v>
      </c>
      <c r="K18" s="29"/>
      <c r="L18" s="35" t="s">
        <v>73</v>
      </c>
      <c r="M18" s="40">
        <f>1/P15</f>
        <v>8.5714285714285713E-5</v>
      </c>
      <c r="N18" s="38">
        <f>1/P16</f>
        <v>1.2291723572794319E-4</v>
      </c>
      <c r="O18" s="38">
        <v>3600000</v>
      </c>
      <c r="P18" s="36">
        <v>1</v>
      </c>
      <c r="Q18" s="36">
        <f>1/P19</f>
        <v>3412.1443905767946</v>
      </c>
      <c r="R18" s="37">
        <f>1/P20</f>
        <v>0.10285714285714284</v>
      </c>
      <c r="S18" s="38">
        <f>1/P21</f>
        <v>2.5641025641025641E-4</v>
      </c>
      <c r="T18" s="29"/>
    </row>
    <row r="19" spans="2:20" s="14" customFormat="1">
      <c r="B19" s="49" t="s">
        <v>3</v>
      </c>
      <c r="C19" s="63"/>
      <c r="D19" s="6">
        <f t="shared" si="1"/>
        <v>0</v>
      </c>
      <c r="E19" s="6">
        <f t="shared" si="1"/>
        <v>0</v>
      </c>
      <c r="F19" s="5">
        <f t="shared" si="1"/>
        <v>0</v>
      </c>
      <c r="G19" s="5">
        <f t="shared" si="1"/>
        <v>0</v>
      </c>
      <c r="H19" s="5">
        <f t="shared" si="1"/>
        <v>0</v>
      </c>
      <c r="I19" s="5">
        <f t="shared" si="1"/>
        <v>0</v>
      </c>
      <c r="J19" s="5">
        <f t="shared" si="1"/>
        <v>0</v>
      </c>
      <c r="K19" s="29"/>
      <c r="L19" s="35" t="s">
        <v>3</v>
      </c>
      <c r="M19" s="40">
        <f>1/Q15</f>
        <v>2.5120357142857143E-8</v>
      </c>
      <c r="N19" s="40">
        <f>1/Q16</f>
        <v>3.602345670581808E-8</v>
      </c>
      <c r="O19" s="36">
        <v>1055.0550000000001</v>
      </c>
      <c r="P19" s="43">
        <f>P15*M19</f>
        <v>2.9307083333333331E-4</v>
      </c>
      <c r="Q19" s="36">
        <v>1</v>
      </c>
      <c r="R19" s="38">
        <f>1/Q20</f>
        <v>3.0144428571428571E-5</v>
      </c>
      <c r="S19" s="38">
        <f>1/Q21</f>
        <v>7.5146367521367518E-8</v>
      </c>
      <c r="T19" s="29"/>
    </row>
    <row r="20" spans="2:20" s="14" customFormat="1">
      <c r="B20" s="56" t="s">
        <v>127</v>
      </c>
      <c r="C20" s="63"/>
      <c r="D20" s="6">
        <f t="shared" si="1"/>
        <v>0</v>
      </c>
      <c r="E20" s="6">
        <f t="shared" si="1"/>
        <v>0</v>
      </c>
      <c r="F20" s="5">
        <f t="shared" si="1"/>
        <v>0</v>
      </c>
      <c r="G20" s="5">
        <f t="shared" si="1"/>
        <v>0</v>
      </c>
      <c r="H20" s="5">
        <f t="shared" si="1"/>
        <v>0</v>
      </c>
      <c r="I20" s="5">
        <f t="shared" si="1"/>
        <v>0</v>
      </c>
      <c r="J20" s="5">
        <f t="shared" si="1"/>
        <v>0</v>
      </c>
      <c r="K20" s="29"/>
      <c r="L20" s="35" t="s">
        <v>4</v>
      </c>
      <c r="M20" s="43">
        <f>1/R15</f>
        <v>8.3333333333333339E-4</v>
      </c>
      <c r="N20" s="44">
        <f>M20*N15</f>
        <v>1.1950286806883365E-3</v>
      </c>
      <c r="O20" s="38">
        <f>O15*M20</f>
        <v>35000000</v>
      </c>
      <c r="P20" s="45">
        <f>P15*M20</f>
        <v>9.7222222222222232</v>
      </c>
      <c r="Q20" s="36">
        <f>M20*Q15</f>
        <v>33173.626019496616</v>
      </c>
      <c r="R20" s="36">
        <v>1</v>
      </c>
      <c r="S20" s="43">
        <f>S19*Q20</f>
        <v>2.4928774928774928E-3</v>
      </c>
      <c r="T20" s="29"/>
    </row>
    <row r="21" spans="2:20" s="14" customFormat="1">
      <c r="B21" s="56" t="s">
        <v>129</v>
      </c>
      <c r="C21" s="63"/>
      <c r="D21" s="6">
        <f t="shared" si="1"/>
        <v>0</v>
      </c>
      <c r="E21" s="6">
        <f t="shared" si="1"/>
        <v>0</v>
      </c>
      <c r="F21" s="5">
        <f t="shared" si="1"/>
        <v>0</v>
      </c>
      <c r="G21" s="5">
        <f t="shared" si="1"/>
        <v>0</v>
      </c>
      <c r="H21" s="5">
        <f t="shared" si="1"/>
        <v>0</v>
      </c>
      <c r="I21" s="5">
        <f t="shared" si="1"/>
        <v>0</v>
      </c>
      <c r="J21" s="5">
        <f t="shared" si="1"/>
        <v>0</v>
      </c>
      <c r="K21" s="29"/>
      <c r="L21" s="35" t="s">
        <v>11</v>
      </c>
      <c r="M21" s="39">
        <f>P21/P15</f>
        <v>0.3342857142857143</v>
      </c>
      <c r="N21" s="46">
        <f>P21/P16</f>
        <v>0.47937721933897842</v>
      </c>
      <c r="O21" s="38">
        <f>P21*3600000</f>
        <v>14040000000</v>
      </c>
      <c r="P21" s="36">
        <v>3900</v>
      </c>
      <c r="Q21" s="36">
        <f>P21*Q18</f>
        <v>13307363.123249499</v>
      </c>
      <c r="R21" s="36">
        <f>1/S20</f>
        <v>401.14285714285717</v>
      </c>
      <c r="S21" s="36">
        <v>1</v>
      </c>
      <c r="T21" s="29"/>
    </row>
    <row r="22" spans="2:20" s="14" customFormat="1">
      <c r="K22" s="29"/>
      <c r="L22" s="29"/>
      <c r="M22" s="29"/>
      <c r="N22" s="29"/>
      <c r="O22" s="29"/>
      <c r="P22" s="29"/>
      <c r="Q22" s="29"/>
      <c r="R22" s="29"/>
      <c r="S22" s="29"/>
      <c r="T22" s="29"/>
    </row>
    <row r="23" spans="2:20">
      <c r="T23" s="190"/>
    </row>
    <row r="24" spans="2:20">
      <c r="T24" s="190"/>
    </row>
    <row r="25" spans="2:20">
      <c r="B25" s="10"/>
      <c r="C25" s="10"/>
      <c r="D25" s="10"/>
      <c r="E25" s="10"/>
      <c r="F25" s="10"/>
      <c r="G25" s="10"/>
      <c r="H25" s="10"/>
      <c r="I25" s="10"/>
      <c r="J25" s="25"/>
      <c r="T25" s="190"/>
    </row>
    <row r="26" spans="2:20" ht="23.25">
      <c r="B26" s="638" t="s">
        <v>278</v>
      </c>
      <c r="C26" s="638"/>
      <c r="D26" s="638"/>
      <c r="E26" s="638"/>
      <c r="F26" s="638"/>
      <c r="G26" s="638"/>
      <c r="H26" s="638"/>
      <c r="I26" s="638"/>
      <c r="J26" s="638"/>
      <c r="T26" s="190"/>
    </row>
    <row r="27" spans="2:20">
      <c r="B27" s="14"/>
      <c r="C27" s="14"/>
      <c r="D27" s="14"/>
      <c r="E27" s="14"/>
      <c r="F27" s="14"/>
      <c r="G27" s="14"/>
      <c r="H27" s="14"/>
      <c r="I27" s="14"/>
      <c r="J27" s="14"/>
      <c r="T27" s="190"/>
    </row>
    <row r="28" spans="2:20">
      <c r="B28" s="15" t="s">
        <v>279</v>
      </c>
      <c r="C28" s="14"/>
      <c r="D28" s="14"/>
      <c r="E28" s="14"/>
      <c r="F28" s="14"/>
      <c r="G28" s="14"/>
      <c r="H28" s="14"/>
      <c r="I28" s="14"/>
      <c r="J28" s="14"/>
    </row>
    <row r="29" spans="2:20">
      <c r="B29" s="225" t="s">
        <v>285</v>
      </c>
      <c r="C29" s="226" t="s">
        <v>5</v>
      </c>
      <c r="D29" s="227" t="s">
        <v>286</v>
      </c>
      <c r="E29" s="225" t="s">
        <v>283</v>
      </c>
      <c r="F29" s="225" t="s">
        <v>284</v>
      </c>
      <c r="G29" s="208"/>
      <c r="H29" s="208"/>
      <c r="I29" s="208"/>
      <c r="J29" s="208"/>
    </row>
    <row r="30" spans="2:20">
      <c r="B30" s="56" t="s">
        <v>280</v>
      </c>
      <c r="C30" s="228">
        <v>0</v>
      </c>
      <c r="D30" s="233">
        <v>9</v>
      </c>
      <c r="E30" s="234">
        <v>0.1</v>
      </c>
      <c r="F30" s="229">
        <f>C30*D30*E30</f>
        <v>0</v>
      </c>
      <c r="G30" s="208"/>
      <c r="H30" s="208"/>
      <c r="I30" s="208"/>
      <c r="J30" s="208"/>
    </row>
    <row r="31" spans="2:20">
      <c r="B31" s="49" t="s">
        <v>281</v>
      </c>
      <c r="C31" s="228">
        <v>0</v>
      </c>
      <c r="D31" s="233">
        <v>26</v>
      </c>
      <c r="E31" s="234">
        <v>0.05</v>
      </c>
      <c r="F31" s="229">
        <f t="shared" ref="F31:F33" si="2">C31*D31*E31</f>
        <v>0</v>
      </c>
      <c r="G31" s="208"/>
      <c r="H31" s="208"/>
      <c r="I31" s="208"/>
      <c r="J31" s="208"/>
    </row>
    <row r="32" spans="2:20">
      <c r="B32" s="49" t="s">
        <v>282</v>
      </c>
      <c r="C32" s="228">
        <v>0</v>
      </c>
      <c r="D32" s="233">
        <v>5</v>
      </c>
      <c r="E32" s="234">
        <v>0.06</v>
      </c>
      <c r="F32" s="229">
        <f t="shared" si="2"/>
        <v>0</v>
      </c>
      <c r="G32" s="208"/>
      <c r="H32" s="208"/>
      <c r="I32" s="208"/>
      <c r="J32" s="208"/>
    </row>
    <row r="33" spans="2:10">
      <c r="B33" s="49" t="s">
        <v>261</v>
      </c>
      <c r="C33" s="228">
        <v>0</v>
      </c>
      <c r="D33" s="233">
        <v>9</v>
      </c>
      <c r="E33" s="234">
        <v>0.09</v>
      </c>
      <c r="F33" s="229">
        <f t="shared" si="2"/>
        <v>0</v>
      </c>
      <c r="G33" s="208"/>
      <c r="H33" s="208"/>
      <c r="I33" s="208"/>
      <c r="J33" s="208"/>
    </row>
    <row r="34" spans="2:10">
      <c r="B34" s="230"/>
      <c r="C34" s="231"/>
      <c r="D34" s="231"/>
      <c r="E34" s="232"/>
      <c r="F34" s="232"/>
      <c r="G34" s="208"/>
      <c r="H34" s="208"/>
      <c r="I34" s="208"/>
      <c r="J34" s="208"/>
    </row>
    <row r="35" spans="2:10">
      <c r="B35" s="230"/>
      <c r="C35" s="231"/>
      <c r="D35" s="231"/>
      <c r="E35" s="232"/>
      <c r="F35" s="232"/>
      <c r="G35" s="208"/>
      <c r="H35" s="208"/>
      <c r="I35" s="208"/>
      <c r="J35" s="208"/>
    </row>
    <row r="36" spans="2:10">
      <c r="B36" s="15" t="s">
        <v>293</v>
      </c>
      <c r="C36" s="14"/>
      <c r="D36" s="14"/>
      <c r="E36" s="14"/>
      <c r="F36" s="14"/>
      <c r="G36" s="208"/>
      <c r="H36" s="208"/>
      <c r="I36" s="208"/>
      <c r="J36" s="208"/>
    </row>
    <row r="37" spans="2:10">
      <c r="B37" s="225" t="s">
        <v>287</v>
      </c>
      <c r="C37" s="236" t="s">
        <v>292</v>
      </c>
      <c r="D37" s="227" t="s">
        <v>291</v>
      </c>
      <c r="E37" s="225" t="s">
        <v>283</v>
      </c>
      <c r="F37" s="225" t="s">
        <v>284</v>
      </c>
      <c r="G37" s="208"/>
      <c r="H37" s="208"/>
      <c r="I37" s="208"/>
      <c r="J37" s="208"/>
    </row>
    <row r="38" spans="2:10">
      <c r="B38" s="56" t="s">
        <v>288</v>
      </c>
      <c r="C38" s="228">
        <v>0</v>
      </c>
      <c r="D38" s="235">
        <v>0.3</v>
      </c>
      <c r="E38" s="234">
        <v>0.1</v>
      </c>
      <c r="F38" s="229">
        <f>C38*D38*E38</f>
        <v>0</v>
      </c>
      <c r="G38" s="208"/>
      <c r="H38" s="208"/>
      <c r="I38" s="208"/>
      <c r="J38" s="208"/>
    </row>
    <row r="39" spans="2:10">
      <c r="B39" s="49" t="s">
        <v>289</v>
      </c>
      <c r="C39" s="228">
        <v>0</v>
      </c>
      <c r="D39" s="235">
        <v>0.3</v>
      </c>
      <c r="E39" s="234">
        <v>0.05</v>
      </c>
      <c r="F39" s="229">
        <f t="shared" ref="F39:F41" si="3">C39*D39*E39</f>
        <v>0</v>
      </c>
      <c r="G39" s="208"/>
      <c r="H39" s="208"/>
      <c r="I39" s="208"/>
      <c r="J39" s="208"/>
    </row>
    <row r="40" spans="2:10">
      <c r="B40" s="49" t="s">
        <v>290</v>
      </c>
      <c r="C40" s="228">
        <v>0</v>
      </c>
      <c r="D40" s="235">
        <v>0.2</v>
      </c>
      <c r="E40" s="234">
        <v>0.05</v>
      </c>
      <c r="F40" s="229">
        <f t="shared" si="3"/>
        <v>0</v>
      </c>
      <c r="G40" s="208"/>
      <c r="H40" s="208"/>
      <c r="I40" s="208"/>
      <c r="J40" s="208"/>
    </row>
    <row r="41" spans="2:10">
      <c r="B41" s="49" t="s">
        <v>261</v>
      </c>
      <c r="C41" s="228">
        <v>0</v>
      </c>
      <c r="D41" s="235">
        <v>0.3</v>
      </c>
      <c r="E41" s="234">
        <v>0.04</v>
      </c>
      <c r="F41" s="229">
        <f t="shared" si="3"/>
        <v>0</v>
      </c>
      <c r="G41" s="208"/>
      <c r="H41" s="208"/>
      <c r="I41" s="208"/>
      <c r="J41" s="208"/>
    </row>
    <row r="42" spans="2:10">
      <c r="B42" s="208"/>
      <c r="C42" s="208"/>
      <c r="D42" s="208"/>
      <c r="E42" s="208"/>
      <c r="F42" s="208"/>
      <c r="G42" s="208"/>
      <c r="H42" s="208"/>
      <c r="I42" s="208"/>
      <c r="J42" s="208"/>
    </row>
    <row r="43" spans="2:10">
      <c r="B43" s="208"/>
      <c r="C43" s="208"/>
      <c r="D43" s="208"/>
      <c r="E43" s="208"/>
      <c r="F43" s="208"/>
      <c r="G43" s="208"/>
      <c r="H43" s="208"/>
      <c r="I43" s="208"/>
      <c r="J43" s="208"/>
    </row>
    <row r="44" spans="2:10">
      <c r="B44" s="208"/>
      <c r="C44" s="208"/>
      <c r="D44" s="208"/>
      <c r="E44" s="208"/>
      <c r="F44" s="208"/>
      <c r="G44" s="208"/>
      <c r="H44" s="208"/>
      <c r="I44" s="208"/>
      <c r="J44" s="208"/>
    </row>
    <row r="45" spans="2:10">
      <c r="B45" s="208"/>
      <c r="C45" s="208"/>
      <c r="D45" s="208"/>
      <c r="E45" s="208"/>
      <c r="F45" s="208"/>
      <c r="G45" s="208"/>
      <c r="H45" s="208"/>
      <c r="I45" s="208"/>
      <c r="J45" s="208"/>
    </row>
    <row r="46" spans="2:10">
      <c r="B46" s="208"/>
      <c r="C46" s="208"/>
      <c r="D46" s="208"/>
      <c r="E46" s="208"/>
      <c r="F46" s="208"/>
      <c r="G46" s="208"/>
      <c r="H46" s="208"/>
      <c r="I46" s="208"/>
      <c r="J46" s="208"/>
    </row>
    <row r="47" spans="2:10">
      <c r="B47" s="208"/>
      <c r="C47" s="208"/>
      <c r="D47" s="208"/>
      <c r="E47" s="208"/>
      <c r="F47" s="208"/>
      <c r="G47" s="208"/>
      <c r="H47" s="208"/>
      <c r="I47" s="208"/>
      <c r="J47" s="208"/>
    </row>
    <row r="48" spans="2:10">
      <c r="B48" s="208"/>
      <c r="C48" s="208"/>
      <c r="D48" s="208"/>
      <c r="E48" s="208"/>
      <c r="F48" s="208"/>
      <c r="G48" s="208"/>
      <c r="H48" s="208"/>
      <c r="I48" s="208"/>
      <c r="J48" s="208"/>
    </row>
    <row r="49" spans="2:10">
      <c r="B49" s="208"/>
      <c r="C49" s="208"/>
      <c r="D49" s="208"/>
      <c r="E49" s="208"/>
      <c r="F49" s="208"/>
      <c r="G49" s="208"/>
      <c r="H49" s="208"/>
      <c r="I49" s="208"/>
      <c r="J49" s="208"/>
    </row>
    <row r="50" spans="2:10">
      <c r="B50" s="208"/>
      <c r="C50" s="208"/>
      <c r="D50" s="208"/>
      <c r="E50" s="208"/>
      <c r="F50" s="208"/>
      <c r="G50" s="208"/>
      <c r="H50" s="208"/>
      <c r="I50" s="208"/>
      <c r="J50" s="208"/>
    </row>
    <row r="51" spans="2:10">
      <c r="B51" s="208"/>
      <c r="C51" s="208"/>
      <c r="D51" s="208"/>
      <c r="E51" s="208"/>
      <c r="F51" s="208"/>
      <c r="G51" s="208"/>
      <c r="H51" s="208"/>
      <c r="I51" s="208"/>
      <c r="J51"/>
    </row>
    <row r="52" spans="2:10">
      <c r="B52" s="208"/>
      <c r="C52" s="208"/>
      <c r="D52" s="208"/>
      <c r="E52" s="208"/>
      <c r="F52" s="208"/>
      <c r="G52" s="208"/>
      <c r="H52" s="208"/>
      <c r="I52" s="208"/>
      <c r="J52"/>
    </row>
    <row r="53" spans="2:10">
      <c r="B53"/>
      <c r="C53"/>
      <c r="D53"/>
      <c r="E53"/>
      <c r="F53"/>
      <c r="G53"/>
      <c r="H53"/>
      <c r="I53"/>
      <c r="J53"/>
    </row>
  </sheetData>
  <dataConsolidate/>
  <mergeCells count="3">
    <mergeCell ref="M13:S13"/>
    <mergeCell ref="B2:J2"/>
    <mergeCell ref="B26:J26"/>
  </mergeCells>
  <phoneticPr fontId="0"/>
  <pageMargins left="0.78740157499999996" right="0.78740157499999996" top="0.984251969" bottom="0.984251969" header="0.4921259845" footer="0.4921259845"/>
  <pageSetup paperSize="9"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Accueil</vt:lpstr>
      <vt:lpstr>Facteurs d'émission</vt:lpstr>
      <vt:lpstr>Campus site 1</vt:lpstr>
      <vt:lpstr>Totalisateur</vt:lpstr>
      <vt:lpstr>Convertisseurs</vt:lpstr>
      <vt:lpstr>CONSOMMABLES_ET_MATERIAUX</vt:lpstr>
      <vt:lpstr>DECHETS_DIRECTS</vt:lpstr>
      <vt:lpstr>DEPLACEMENT_PERSONNES</vt:lpstr>
      <vt:lpstr>FRET</vt:lpstr>
      <vt:lpstr>IMMOBILISATIONS</vt:lpstr>
      <vt:lpstr>RESTAURANT_UNIVERSITAIRE</vt:lpstr>
      <vt:lpstr>SOURCES_FIXES</vt:lpstr>
      <vt:lpstr>TOTAL</vt:lpstr>
      <vt:lpstr>'Campus site 1'!Zone_d_impression</vt:lpstr>
    </vt:vector>
  </TitlesOfParts>
  <Manager>Sylvie PADILLA, Jean-Marc JANCOVICI</Manager>
  <Company>ADEME, AVENIR CLIMATIQUE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Carbone® Campus (version simplifiée)</dc:title>
  <dc:subject>Bilan Carbone®</dc:subject>
  <dc:creator>Thomas GOURDON, Vincent BRYANT</dc:creator>
  <dc:description>contact@bilancarbonecampus.org</dc:description>
  <cp:lastModifiedBy>Mathieu</cp:lastModifiedBy>
  <cp:lastPrinted>2008-10-19T17:29:27Z</cp:lastPrinted>
  <dcterms:created xsi:type="dcterms:W3CDTF">2006-10-23T11:23:59Z</dcterms:created>
  <dcterms:modified xsi:type="dcterms:W3CDTF">2019-01-20T14:22:37Z</dcterms:modified>
  <cp:category>Campus Durable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-759960032</vt:i4>
  </property>
  <property fmtid="{D5CDD505-2E9C-101B-9397-08002B2CF9AE}" pid="3" name="_EmailSubject">
    <vt:lpwstr>[Bilan Carbone Campus] Lancement le 16/01/2009</vt:lpwstr>
  </property>
  <property fmtid="{D5CDD505-2E9C-101B-9397-08002B2CF9AE}" pid="4" name="_AuthorEmail">
    <vt:lpwstr>vincent.bryant@gmail.com</vt:lpwstr>
  </property>
  <property fmtid="{D5CDD505-2E9C-101B-9397-08002B2CF9AE}" pid="5" name="_AuthorEmailDisplayName">
    <vt:lpwstr>Vincent BRYANT</vt:lpwstr>
  </property>
  <property fmtid="{D5CDD505-2E9C-101B-9397-08002B2CF9AE}" pid="6" name="_PreviousAdHocReviewCycleID">
    <vt:i4>77213669</vt:i4>
  </property>
  <property fmtid="{D5CDD505-2E9C-101B-9397-08002B2CF9AE}" pid="7" name="_ReviewingToolsShownOnce">
    <vt:lpwstr/>
  </property>
</Properties>
</file>